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xl/externalLinks/externalLink1.xml" ContentType="application/vnd.openxmlformats-officedocument.spreadsheetml.externalLink+xml"/>
  <Override PartName="/xl/connections.xml" ContentType="application/vnd.openxmlformats-officedocument.spreadsheetml.connection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docProps/custom.xml" ContentType="application/vnd.openxmlformats-officedocument.custom-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8" Type="http://schemas.openxmlformats.org/officeDocument/2006/relationships/custom-properties" Target="docProps/custom.xml"/><Relationship Id="rId7" Type="http://schemas.openxmlformats.org/officeDocument/2006/relationships/extended-properties" Target="docProps/app.xml"/><Relationship Id="rId1" Type="http://schemas.openxmlformats.org/officeDocument/2006/relationships/officeDocument" Target="xl/workbook.xml"/><Relationship Id="rId6" Type="http://schemas.openxmlformats.org/package/2006/relationships/metadata/core-properties" Target="docProps/core.xml"/><Relationship Id="rId5" Type="http://schemas.microsoft.com/office/2006/relationships/ui/userCustomization" Target="userCustomization/customUI.xml"/><Relationship Id="rId9"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defaultThemeVersion="166925"/>
  <mc:AlternateContent xmlns:mc="http://schemas.openxmlformats.org/markup-compatibility/2006">
    <mc:Choice Requires="x15">
      <x15ac:absPath xmlns:x15ac="http://schemas.microsoft.com/office/spreadsheetml/2010/11/ac" url="https://everisgroup-my.sharepoint.com/personal/mroldane_emeal_nttdata_com/Documents/Escritorio/"/>
    </mc:Choice>
  </mc:AlternateContent>
  <xr:revisionPtr revIDLastSave="4" documentId="13_ncr:1_{4D194608-53A1-493A-AC44-18ADFD56AA83}" xr6:coauthVersionLast="47" xr6:coauthVersionMax="47" xr10:uidLastSave="{FD4AC854-4E58-4571-A619-B699478987C2}"/>
  <bookViews>
    <workbookView xWindow="-90" yWindow="-16320" windowWidth="29040" windowHeight="15840" tabRatio="769" activeTab="8" xr2:uid="{4ABFDFE5-8AFD-4F01-97AC-FC4356E0A3C1}"/>
  </bookViews>
  <sheets>
    <sheet name="Contenido de las ofertas" sheetId="20" r:id="rId1"/>
    <sheet name="Criterios de adjudicación" sheetId="9" r:id="rId2"/>
    <sheet name="Anexo valoraciones" sheetId="19" state="hidden" r:id="rId3"/>
    <sheet name="Resumen global" sheetId="1" r:id="rId4"/>
    <sheet name="Resolucion" sheetId="22" state="hidden" r:id="rId5"/>
    <sheet name="Aux-Resolucion" sheetId="38" state="hidden" r:id="rId6"/>
    <sheet name="Homologación" sheetId="2" state="hidden" r:id="rId7"/>
    <sheet name="Entornos" sheetId="10" state="hidden" r:id="rId8"/>
    <sheet name="EMPRESA" sheetId="39" r:id="rId9"/>
    <sheet name="Medios humanos" sheetId="3" state="hidden" r:id="rId10"/>
  </sheets>
  <externalReferences>
    <externalReference r:id="rId11"/>
  </externalReferences>
  <definedNames>
    <definedName name="_xlnm.Print_Area" localSheetId="0">'Contenido de las ofertas'!$A$1:$I$32</definedName>
    <definedName name="BAJA_para_otorgar_puntuación_máxima">'Resumen global'!$R$37</definedName>
    <definedName name="BajaDesproporcionada">'Resumen global'!$R$38</definedName>
    <definedName name="Bmax">'Resumen global'!$R$41</definedName>
    <definedName name="Clasificacion">[1]ConceptosValorados!$A$12:$A$18</definedName>
    <definedName name="DatosExternos_1" localSheetId="5" hidden="1">'Aux-Resolucion'!$B$2:$N$10</definedName>
    <definedName name="empresas1">Homologación!$B$2:$B$9</definedName>
    <definedName name="empresas2">Homologación!$B$12:$B$19</definedName>
    <definedName name="empresas3">Homologación!$B$22:$B$25</definedName>
    <definedName name="empresas4">Homologación!$B$28:$B$31</definedName>
    <definedName name="empresas5">Homologación!$B$34:$B$38</definedName>
    <definedName name="entornos1">Entornos!$A$3:$A$28</definedName>
    <definedName name="entornos2">Entornos!$B$3:$B$28</definedName>
    <definedName name="entornos3">Entornos!$C$3:$C$30</definedName>
    <definedName name="entornos4">Entornos!$D$3:$D$12</definedName>
    <definedName name="entornos5">Entornos!$E$3:$E$6</definedName>
    <definedName name="Formapago_A">Homologación!$C$75</definedName>
    <definedName name="formapago_H">Homologación!$C$79</definedName>
    <definedName name="Formapago_P">Homologación!$C$76:$C$78</definedName>
    <definedName name="listaPrecios">Homologación!$C$71:$C$72</definedName>
    <definedName name="lotes">Homologación!$C$44:$C$48</definedName>
    <definedName name="lotes1">'Medios humanos'!$F$15:$F$17</definedName>
    <definedName name="OfertaMasBaja">'Resumen global'!$R$39</definedName>
    <definedName name="Omin">'Resumen global'!$R$40</definedName>
    <definedName name="perfiles">'Resumen global'!$E$33:$E$39</definedName>
    <definedName name="perfiles1">'Medios humanos'!$F$4:$F$10</definedName>
    <definedName name="perfiles2">'Medios humanos'!$G$4:$G$10</definedName>
    <definedName name="perfiles3">'Medios humanos'!$H$4:$H$6</definedName>
    <definedName name="perfiles4">'Medios humanos'!$I$4:$I$5</definedName>
    <definedName name="perfiles5">'Medios humanos'!$J$4:$J$7</definedName>
    <definedName name="Precio_hora">Homologación!$C$72</definedName>
    <definedName name="Precio_oferta">Homologación!$C$71</definedName>
    <definedName name="PrecioMaximo">'Resumen global'!$R$44</definedName>
    <definedName name="PuntosPrecio">'Resumen global'!$R$36</definedName>
    <definedName name="recursos1">Entornos!$A$3:$A$26</definedName>
    <definedName name="recursos2">Entornos!$B$3:$B$26</definedName>
    <definedName name="recursos3">Entornos!$C$3:$C$30</definedName>
    <definedName name="si_no">Homologación!$D$44:$D$45</definedName>
    <definedName name="Tabla_ParaGenerar_resolucion">'Resumen global'!$C$48:$M$56</definedName>
    <definedName name="xx">'Criterios de adjudicación'!$C$30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22" l="1"/>
  <c r="H5" i="22"/>
  <c r="H6" i="22"/>
  <c r="H7" i="22"/>
  <c r="H8" i="22"/>
  <c r="H9" i="22"/>
  <c r="H10" i="22"/>
  <c r="H3" i="22"/>
  <c r="A38" i="39" l="1"/>
  <c r="E31" i="39"/>
  <c r="E32" i="39"/>
  <c r="E33" i="39"/>
  <c r="E34" i="39"/>
  <c r="E35" i="39"/>
  <c r="E36" i="39"/>
  <c r="E9" i="1"/>
  <c r="C12" i="9" s="1"/>
  <c r="F14" i="1"/>
  <c r="A3" i="22"/>
  <c r="C14" i="22" a="1"/>
  <c r="B18" i="22" a="1"/>
  <c r="B21" i="22" a="1"/>
  <c r="B15" i="22" a="1"/>
  <c r="B20" i="22" a="1"/>
  <c r="B19" i="22" a="1"/>
  <c r="B17" i="22" a="1"/>
  <c r="B14" i="22" a="1"/>
  <c r="B16" i="22" a="1"/>
  <c r="C14" i="22" l="1"/>
  <c r="B15" i="22"/>
  <c r="B16" i="22"/>
  <c r="C16" i="22" s="1" a="1"/>
  <c r="C16" i="22" s="1"/>
  <c r="B17" i="22"/>
  <c r="C17" i="22" s="1" a="1"/>
  <c r="C17" i="22" s="1"/>
  <c r="B18" i="22"/>
  <c r="C18" i="22" s="1" a="1"/>
  <c r="C18" i="22" s="1"/>
  <c r="B19" i="22"/>
  <c r="C19" i="22" s="1" a="1"/>
  <c r="C19" i="22" s="1"/>
  <c r="B20" i="22"/>
  <c r="C20" i="22" s="1" a="1"/>
  <c r="C20" i="22" s="1"/>
  <c r="B21" i="22"/>
  <c r="C21" i="22" s="1" a="1"/>
  <c r="C21" i="22" s="1"/>
  <c r="B14" i="22"/>
  <c r="C15" i="22" a="1"/>
  <c r="C15" i="22" l="1"/>
  <c r="E4" i="22"/>
  <c r="E6" i="22"/>
  <c r="E8" i="22"/>
  <c r="E10" i="22"/>
  <c r="E5" i="22"/>
  <c r="E7" i="22"/>
  <c r="E9" i="22"/>
  <c r="E3" i="22"/>
  <c r="B10" i="19"/>
  <c r="G30" i="39" l="1"/>
  <c r="A40" i="39"/>
  <c r="G36" i="39"/>
  <c r="A36" i="39"/>
  <c r="G35" i="39"/>
  <c r="A35" i="39"/>
  <c r="G34" i="39"/>
  <c r="A34" i="39"/>
  <c r="G33" i="39"/>
  <c r="A33" i="39"/>
  <c r="G32" i="39"/>
  <c r="A32" i="39"/>
  <c r="G31" i="39"/>
  <c r="A31" i="39"/>
  <c r="A30" i="39"/>
  <c r="E29" i="39"/>
  <c r="W24" i="39"/>
  <c r="V24" i="39"/>
  <c r="U24" i="39"/>
  <c r="T24" i="39"/>
  <c r="C24" i="39"/>
  <c r="AM24" i="39" s="1"/>
  <c r="W23" i="39"/>
  <c r="V23" i="39"/>
  <c r="U23" i="39"/>
  <c r="T23" i="39"/>
  <c r="C23" i="39"/>
  <c r="AM23" i="39" s="1"/>
  <c r="W22" i="39"/>
  <c r="V22" i="39"/>
  <c r="U22" i="39"/>
  <c r="T22" i="39"/>
  <c r="C22" i="39"/>
  <c r="AM22" i="39" s="1"/>
  <c r="W21" i="39"/>
  <c r="V21" i="39"/>
  <c r="U21" i="39"/>
  <c r="T21" i="39"/>
  <c r="C21" i="39"/>
  <c r="AM21" i="39" s="1"/>
  <c r="W20" i="39"/>
  <c r="V20" i="39"/>
  <c r="U20" i="39"/>
  <c r="T20" i="39"/>
  <c r="C20" i="39"/>
  <c r="AM20" i="39" s="1"/>
  <c r="W19" i="39"/>
  <c r="V19" i="39"/>
  <c r="U19" i="39"/>
  <c r="T19" i="39"/>
  <c r="C19" i="39"/>
  <c r="AM19" i="39" s="1"/>
  <c r="W18" i="39"/>
  <c r="V18" i="39"/>
  <c r="U18" i="39"/>
  <c r="T18" i="39"/>
  <c r="C18" i="39"/>
  <c r="AM18" i="39" s="1"/>
  <c r="W17" i="39"/>
  <c r="V17" i="39"/>
  <c r="U17" i="39"/>
  <c r="T17" i="39"/>
  <c r="C17" i="39"/>
  <c r="AM17" i="39" s="1"/>
  <c r="W16" i="39"/>
  <c r="V16" i="39"/>
  <c r="U16" i="39"/>
  <c r="T16" i="39"/>
  <c r="C16" i="39"/>
  <c r="AM16" i="39" s="1"/>
  <c r="W15" i="39"/>
  <c r="V15" i="39"/>
  <c r="U15" i="39"/>
  <c r="T15" i="39"/>
  <c r="C15" i="39"/>
  <c r="AM15" i="39" s="1"/>
  <c r="W14" i="39"/>
  <c r="V14" i="39"/>
  <c r="U14" i="39"/>
  <c r="T14" i="39"/>
  <c r="C14" i="39"/>
  <c r="AM14" i="39" s="1"/>
  <c r="W13" i="39"/>
  <c r="V13" i="39"/>
  <c r="U13" i="39"/>
  <c r="T13" i="39"/>
  <c r="C13" i="39"/>
  <c r="AM13" i="39" s="1"/>
  <c r="W12" i="39"/>
  <c r="V12" i="39"/>
  <c r="U12" i="39"/>
  <c r="T12" i="39"/>
  <c r="C12" i="39"/>
  <c r="AM12" i="39" s="1"/>
  <c r="W11" i="39"/>
  <c r="V11" i="39"/>
  <c r="U11" i="39"/>
  <c r="T11" i="39"/>
  <c r="C11" i="39"/>
  <c r="AM11" i="39" s="1"/>
  <c r="W10" i="39"/>
  <c r="V10" i="39"/>
  <c r="U10" i="39"/>
  <c r="T10" i="39"/>
  <c r="C10" i="39"/>
  <c r="AM10" i="39" s="1"/>
  <c r="W9" i="39"/>
  <c r="V9" i="39"/>
  <c r="U9" i="39"/>
  <c r="T9" i="39"/>
  <c r="C9" i="39"/>
  <c r="AM9" i="39" s="1"/>
  <c r="W8" i="39"/>
  <c r="V8" i="39"/>
  <c r="U8" i="39"/>
  <c r="T8" i="39"/>
  <c r="C8" i="39"/>
  <c r="AM8" i="39" s="1"/>
  <c r="W7" i="39"/>
  <c r="V7" i="39"/>
  <c r="U7" i="39"/>
  <c r="T7" i="39"/>
  <c r="C7" i="39"/>
  <c r="AM7" i="39" s="1"/>
  <c r="W6" i="39"/>
  <c r="V6" i="39"/>
  <c r="U6" i="39"/>
  <c r="T6" i="39"/>
  <c r="C6" i="39"/>
  <c r="AM6" i="39" s="1"/>
  <c r="W5" i="39"/>
  <c r="V5" i="39"/>
  <c r="U5" i="39"/>
  <c r="T5" i="39"/>
  <c r="C5" i="39"/>
  <c r="AM5" i="39" s="1"/>
  <c r="W4" i="39"/>
  <c r="V4" i="39"/>
  <c r="U4" i="39"/>
  <c r="T4" i="39"/>
  <c r="C4" i="39"/>
  <c r="AM4" i="39" s="1"/>
  <c r="R2" i="39"/>
  <c r="AJ24" i="39" s="1"/>
  <c r="P2" i="39"/>
  <c r="AG24" i="39" s="1"/>
  <c r="N2" i="39"/>
  <c r="AF18" i="39" s="1"/>
  <c r="L2" i="39"/>
  <c r="AD19" i="39" s="1"/>
  <c r="K2" i="39"/>
  <c r="AA24" i="39" s="1"/>
  <c r="J2" i="39"/>
  <c r="Z19" i="39" s="1"/>
  <c r="I2" i="39"/>
  <c r="Y23" i="39" s="1"/>
  <c r="AC1" i="39"/>
  <c r="C4" i="22"/>
  <c r="C5" i="22"/>
  <c r="C6" i="22"/>
  <c r="C7" i="22"/>
  <c r="C8" i="22"/>
  <c r="C9" i="22"/>
  <c r="C10" i="22"/>
  <c r="C3" i="22"/>
  <c r="C2" i="22"/>
  <c r="E37" i="39" l="1"/>
  <c r="X4" i="39"/>
  <c r="AJ17" i="39"/>
  <c r="X14" i="39"/>
  <c r="X10" i="39"/>
  <c r="AI18" i="39"/>
  <c r="AC24" i="39"/>
  <c r="AD20" i="39"/>
  <c r="Z23" i="39"/>
  <c r="AI16" i="39"/>
  <c r="AC4" i="39"/>
  <c r="AI15" i="39"/>
  <c r="X22" i="39"/>
  <c r="X18" i="39"/>
  <c r="X5" i="39"/>
  <c r="AE19" i="39"/>
  <c r="AH5" i="39"/>
  <c r="Z7" i="39"/>
  <c r="AJ14" i="39"/>
  <c r="AJ19" i="39"/>
  <c r="AI20" i="39"/>
  <c r="AJ21" i="39"/>
  <c r="AJ22" i="39"/>
  <c r="AI23" i="39"/>
  <c r="AH4" i="39"/>
  <c r="AG5" i="39"/>
  <c r="AC6" i="39"/>
  <c r="AI14" i="39"/>
  <c r="AJ15" i="39"/>
  <c r="AJ18" i="39"/>
  <c r="AI19" i="39"/>
  <c r="AG20" i="39"/>
  <c r="AG21" i="39"/>
  <c r="AI22" i="39"/>
  <c r="AH23" i="39"/>
  <c r="AI4" i="39"/>
  <c r="AE6" i="39"/>
  <c r="AJ13" i="39"/>
  <c r="AE2" i="39"/>
  <c r="AJ5" i="39"/>
  <c r="AI6" i="39"/>
  <c r="AE7" i="39"/>
  <c r="Z10" i="39"/>
  <c r="AH11" i="39"/>
  <c r="AH12" i="39"/>
  <c r="AE14" i="39"/>
  <c r="AF21" i="39"/>
  <c r="AJ6" i="39"/>
  <c r="AF7" i="39"/>
  <c r="AC8" i="39"/>
  <c r="AG9" i="39"/>
  <c r="AI10" i="39"/>
  <c r="AI11" i="39"/>
  <c r="AI12" i="39"/>
  <c r="AF22" i="39"/>
  <c r="AI7" i="39"/>
  <c r="AH8" i="39"/>
  <c r="AJ9" i="39"/>
  <c r="AJ10" i="39"/>
  <c r="AJ11" i="39"/>
  <c r="AF5" i="39"/>
  <c r="AJ7" i="39"/>
  <c r="AI8" i="39"/>
  <c r="AC17" i="39"/>
  <c r="AE18" i="39"/>
  <c r="AC16" i="39"/>
  <c r="AF17" i="39"/>
  <c r="AA21" i="39"/>
  <c r="AA6" i="39"/>
  <c r="AA7" i="39"/>
  <c r="AA10" i="39"/>
  <c r="Z11" i="39"/>
  <c r="Y19" i="39"/>
  <c r="Z22" i="39"/>
  <c r="AA9" i="39"/>
  <c r="Y5" i="39"/>
  <c r="AA11" i="39"/>
  <c r="AA14" i="39"/>
  <c r="AA17" i="39"/>
  <c r="AA19" i="39"/>
  <c r="AA22" i="39"/>
  <c r="AA5" i="39"/>
  <c r="Y7" i="39"/>
  <c r="Y9" i="39"/>
  <c r="Y12" i="39"/>
  <c r="AA13" i="39"/>
  <c r="AA15" i="39"/>
  <c r="AA18" i="39"/>
  <c r="AC23" i="39"/>
  <c r="AD22" i="39"/>
  <c r="AC19" i="39"/>
  <c r="AD18" i="39"/>
  <c r="AC15" i="39"/>
  <c r="AD14" i="39"/>
  <c r="AC11" i="39"/>
  <c r="AD10" i="39"/>
  <c r="AC7" i="39"/>
  <c r="AD6" i="39"/>
  <c r="AC18" i="39"/>
  <c r="AD13" i="39"/>
  <c r="AC10" i="39"/>
  <c r="AC22" i="39"/>
  <c r="AD21" i="39"/>
  <c r="AD17" i="39"/>
  <c r="AC14" i="39"/>
  <c r="AD9" i="39"/>
  <c r="AD4" i="39"/>
  <c r="AD8" i="39"/>
  <c r="AC12" i="39"/>
  <c r="Y22" i="39"/>
  <c r="Y18" i="39"/>
  <c r="Y14" i="39"/>
  <c r="Y10" i="39"/>
  <c r="Y6" i="39"/>
  <c r="Y17" i="39"/>
  <c r="Y21" i="39"/>
  <c r="Y13" i="39"/>
  <c r="AF24" i="39"/>
  <c r="AE21" i="39"/>
  <c r="AF20" i="39"/>
  <c r="AE17" i="39"/>
  <c r="AF16" i="39"/>
  <c r="AE13" i="39"/>
  <c r="AF12" i="39"/>
  <c r="AE9" i="39"/>
  <c r="AF8" i="39"/>
  <c r="AE5" i="39"/>
  <c r="AF4" i="39"/>
  <c r="AE20" i="39"/>
  <c r="AE16" i="39"/>
  <c r="AF11" i="39"/>
  <c r="AE24" i="39"/>
  <c r="AF23" i="39"/>
  <c r="AF19" i="39"/>
  <c r="AF15" i="39"/>
  <c r="AE12" i="39"/>
  <c r="Y4" i="39"/>
  <c r="AE4" i="39"/>
  <c r="AC5" i="39"/>
  <c r="Z6" i="39"/>
  <c r="AF6" i="39"/>
  <c r="AH7" i="39"/>
  <c r="Y8" i="39"/>
  <c r="AE8" i="39"/>
  <c r="AC9" i="39"/>
  <c r="AE10" i="39"/>
  <c r="AD11" i="39"/>
  <c r="AD12" i="39"/>
  <c r="AF13" i="39"/>
  <c r="AF14" i="39"/>
  <c r="Y15" i="39"/>
  <c r="AE15" i="39"/>
  <c r="AG16" i="39"/>
  <c r="AG17" i="39"/>
  <c r="Z18" i="39"/>
  <c r="AH19" i="39"/>
  <c r="Y20" i="39"/>
  <c r="AH20" i="39"/>
  <c r="AD23" i="39"/>
  <c r="AC13" i="39"/>
  <c r="AD15" i="39"/>
  <c r="AD16" i="39"/>
  <c r="AD24" i="39"/>
  <c r="G37" i="39"/>
  <c r="B27" i="39" s="1"/>
  <c r="Z21" i="39"/>
  <c r="Z17" i="39"/>
  <c r="Z13" i="39"/>
  <c r="Z9" i="39"/>
  <c r="Z5" i="39"/>
  <c r="Z12" i="39"/>
  <c r="Z24" i="39"/>
  <c r="Z20" i="39"/>
  <c r="Z16" i="39"/>
  <c r="AG23" i="39"/>
  <c r="AH22" i="39"/>
  <c r="AG19" i="39"/>
  <c r="AH18" i="39"/>
  <c r="AG15" i="39"/>
  <c r="AH14" i="39"/>
  <c r="AG11" i="39"/>
  <c r="AH10" i="39"/>
  <c r="AG7" i="39"/>
  <c r="AH6" i="39"/>
  <c r="AH17" i="39"/>
  <c r="AG14" i="39"/>
  <c r="AH13" i="39"/>
  <c r="AH9" i="39"/>
  <c r="AG22" i="39"/>
  <c r="AH21" i="39"/>
  <c r="AG18" i="39"/>
  <c r="AG10" i="39"/>
  <c r="Z4" i="39"/>
  <c r="AG4" i="39"/>
  <c r="AD5" i="39"/>
  <c r="AG6" i="39"/>
  <c r="AD7" i="39"/>
  <c r="Z8" i="39"/>
  <c r="AG8" i="39"/>
  <c r="AF9" i="39"/>
  <c r="AF10" i="39"/>
  <c r="Y11" i="39"/>
  <c r="AE11" i="39"/>
  <c r="AG12" i="39"/>
  <c r="AG13" i="39"/>
  <c r="Z14" i="39"/>
  <c r="Z15" i="39"/>
  <c r="AH15" i="39"/>
  <c r="Y16" i="39"/>
  <c r="AH16" i="39"/>
  <c r="AC20" i="39"/>
  <c r="AC21" i="39"/>
  <c r="AE22" i="39"/>
  <c r="AE23" i="39"/>
  <c r="Y24" i="39"/>
  <c r="AH24" i="39"/>
  <c r="AA23" i="39"/>
  <c r="AJ23" i="39"/>
  <c r="AI24" i="39"/>
  <c r="AA4" i="39"/>
  <c r="AJ4" i="39"/>
  <c r="AI5" i="39"/>
  <c r="AA8" i="39"/>
  <c r="AJ8" i="39"/>
  <c r="AI9" i="39"/>
  <c r="AA12" i="39"/>
  <c r="AJ12" i="39"/>
  <c r="AI13" i="39"/>
  <c r="AA16" i="39"/>
  <c r="AJ16" i="39"/>
  <c r="AI17" i="39"/>
  <c r="AA20" i="39"/>
  <c r="AJ20" i="39"/>
  <c r="AI21" i="39"/>
  <c r="X8" i="39"/>
  <c r="X11" i="39"/>
  <c r="X15" i="39"/>
  <c r="X23" i="39"/>
  <c r="X9" i="39"/>
  <c r="X12" i="39"/>
  <c r="X16" i="39"/>
  <c r="X20" i="39"/>
  <c r="X24" i="39"/>
  <c r="X19" i="39"/>
  <c r="X6" i="39"/>
  <c r="X7" i="39"/>
  <c r="X13" i="39"/>
  <c r="X17" i="39"/>
  <c r="X21" i="39"/>
  <c r="AI2" i="39"/>
  <c r="AC2" i="39"/>
  <c r="AG2" i="39"/>
  <c r="D4" i="22"/>
  <c r="I4" i="22"/>
  <c r="D5" i="22"/>
  <c r="I5" i="22"/>
  <c r="D6" i="22"/>
  <c r="I6" i="22"/>
  <c r="D7" i="22"/>
  <c r="I7" i="22"/>
  <c r="D8" i="22"/>
  <c r="I8" i="22"/>
  <c r="D9" i="22"/>
  <c r="I9" i="22"/>
  <c r="D10" i="22"/>
  <c r="I10" i="22"/>
  <c r="I3" i="22"/>
  <c r="D3" i="22"/>
  <c r="B4" i="22"/>
  <c r="B5" i="22"/>
  <c r="B6" i="22"/>
  <c r="B7" i="22"/>
  <c r="B8" i="22"/>
  <c r="B9" i="22"/>
  <c r="B10" i="22"/>
  <c r="B3" i="22"/>
  <c r="AB23" i="39" l="1"/>
  <c r="AB4" i="39"/>
  <c r="AB10" i="39"/>
  <c r="AB7" i="39"/>
  <c r="AB18" i="39"/>
  <c r="AK4" i="39"/>
  <c r="AK24" i="39"/>
  <c r="AB9" i="39"/>
  <c r="AB5" i="39"/>
  <c r="AB12" i="39"/>
  <c r="AB20" i="39"/>
  <c r="AK10" i="39"/>
  <c r="AK18" i="39"/>
  <c r="AK8" i="39"/>
  <c r="AB21" i="39"/>
  <c r="AB19" i="39"/>
  <c r="AB17" i="39"/>
  <c r="AB15" i="39"/>
  <c r="AB13" i="39"/>
  <c r="AB11" i="39"/>
  <c r="AB6" i="39"/>
  <c r="AB14" i="39"/>
  <c r="AB22" i="39"/>
  <c r="AK5" i="39"/>
  <c r="AK12" i="39"/>
  <c r="AK20" i="39"/>
  <c r="AK16" i="39"/>
  <c r="AB8" i="39"/>
  <c r="AB16" i="39"/>
  <c r="AB24" i="39"/>
  <c r="AK23" i="39"/>
  <c r="AK21" i="39"/>
  <c r="AK19" i="39"/>
  <c r="AK17" i="39"/>
  <c r="AK15" i="39"/>
  <c r="AK13" i="39"/>
  <c r="AK11" i="39"/>
  <c r="AK9" i="39"/>
  <c r="AK7" i="39"/>
  <c r="AK6" i="39"/>
  <c r="AK14" i="39"/>
  <c r="AK22" i="39"/>
  <c r="AL10" i="39" l="1"/>
  <c r="AN10" i="39" s="1"/>
  <c r="AL4" i="39"/>
  <c r="AN4" i="39" s="1"/>
  <c r="AL9" i="39"/>
  <c r="AN9" i="39" s="1"/>
  <c r="AL22" i="39"/>
  <c r="AN22" i="39" s="1"/>
  <c r="AL6" i="39"/>
  <c r="AN6" i="39" s="1"/>
  <c r="AL19" i="39"/>
  <c r="AN19" i="39" s="1"/>
  <c r="AL21" i="39"/>
  <c r="AN21" i="39" s="1"/>
  <c r="AL24" i="39"/>
  <c r="AN24" i="39" s="1"/>
  <c r="AL11" i="39"/>
  <c r="AN11" i="39" s="1"/>
  <c r="AL14" i="39"/>
  <c r="AN14" i="39" s="1"/>
  <c r="AL16" i="39"/>
  <c r="AN16" i="39" s="1"/>
  <c r="AL13" i="39"/>
  <c r="AN13" i="39" s="1"/>
  <c r="AL20" i="39"/>
  <c r="AN20" i="39" s="1"/>
  <c r="AL17" i="39"/>
  <c r="AN17" i="39" s="1"/>
  <c r="AL15" i="39"/>
  <c r="AN15" i="39" s="1"/>
  <c r="AL12" i="39"/>
  <c r="AN12" i="39" s="1"/>
  <c r="AL5" i="39"/>
  <c r="AN5" i="39" s="1"/>
  <c r="AL23" i="39"/>
  <c r="AN23" i="39" s="1"/>
  <c r="AL8" i="39"/>
  <c r="AN8" i="39" s="1"/>
  <c r="AL7" i="39"/>
  <c r="AN7" i="39" s="1"/>
  <c r="AL18" i="39"/>
  <c r="AN18" i="39" s="1"/>
  <c r="P3" i="2"/>
  <c r="P4" i="2"/>
  <c r="P5" i="2"/>
  <c r="P6" i="2"/>
  <c r="P7" i="2"/>
  <c r="P8" i="2"/>
  <c r="P9" i="2"/>
  <c r="P12" i="2"/>
  <c r="P13" i="2"/>
  <c r="P14" i="2"/>
  <c r="P15" i="2"/>
  <c r="P16" i="2"/>
  <c r="P17" i="2"/>
  <c r="P18" i="2"/>
  <c r="P19" i="2"/>
  <c r="P22" i="2"/>
  <c r="P23" i="2"/>
  <c r="P24" i="2"/>
  <c r="P25" i="2"/>
  <c r="P28" i="2"/>
  <c r="P29" i="2"/>
  <c r="P30" i="2"/>
  <c r="P31" i="2"/>
  <c r="P34" i="2"/>
  <c r="P35" i="2"/>
  <c r="P36" i="2"/>
  <c r="P37" i="2"/>
  <c r="P38" i="2"/>
  <c r="P2" i="2"/>
  <c r="G4" i="22" l="1"/>
  <c r="G6" i="22"/>
  <c r="G8" i="22"/>
  <c r="G10" i="22"/>
  <c r="G3" i="22"/>
  <c r="G5" i="22"/>
  <c r="G7" i="22"/>
  <c r="G9" i="22"/>
  <c r="F4" i="22"/>
  <c r="F6" i="22"/>
  <c r="F8" i="22"/>
  <c r="F10" i="22"/>
  <c r="F5" i="22"/>
  <c r="F7" i="22"/>
  <c r="F9" i="22"/>
  <c r="F3" i="22"/>
  <c r="AN3" i="39"/>
  <c r="C78" i="19"/>
  <c r="C65" i="19"/>
  <c r="C52" i="19"/>
  <c r="C39" i="19"/>
  <c r="B31" i="19"/>
  <c r="B17" i="19"/>
  <c r="C17" i="19"/>
  <c r="C24" i="19"/>
  <c r="C31" i="19"/>
  <c r="B24" i="19"/>
  <c r="D87" i="19"/>
  <c r="D88" i="19"/>
  <c r="D89" i="19"/>
  <c r="D86" i="19"/>
  <c r="D80" i="19"/>
  <c r="D81" i="19"/>
  <c r="D82" i="19"/>
  <c r="D83" i="19"/>
  <c r="D79" i="19"/>
  <c r="D74" i="19"/>
  <c r="D75" i="19"/>
  <c r="D76" i="19"/>
  <c r="D73" i="19"/>
  <c r="D67" i="19"/>
  <c r="D68" i="19"/>
  <c r="D69" i="19"/>
  <c r="D70" i="19"/>
  <c r="D66" i="19"/>
  <c r="D61" i="19"/>
  <c r="D62" i="19"/>
  <c r="D63" i="19"/>
  <c r="D60" i="19"/>
  <c r="D54" i="19"/>
  <c r="D55" i="19"/>
  <c r="D56" i="19"/>
  <c r="D57" i="19"/>
  <c r="D53" i="19"/>
  <c r="D40" i="19"/>
  <c r="B79" i="19"/>
  <c r="B80" i="19"/>
  <c r="B81" i="19"/>
  <c r="B82" i="19"/>
  <c r="B83" i="19"/>
  <c r="B84" i="19"/>
  <c r="B85" i="19"/>
  <c r="D85" i="19"/>
  <c r="B86" i="19"/>
  <c r="B87" i="19"/>
  <c r="B88" i="19"/>
  <c r="B89" i="19"/>
  <c r="B90" i="19"/>
  <c r="D78" i="19"/>
  <c r="B78" i="19"/>
  <c r="B77" i="19"/>
  <c r="B76" i="19"/>
  <c r="B75" i="19"/>
  <c r="B74" i="19"/>
  <c r="B73" i="19"/>
  <c r="D72" i="19"/>
  <c r="B72" i="19"/>
  <c r="B71" i="19"/>
  <c r="B70" i="19"/>
  <c r="B69" i="19"/>
  <c r="B68" i="19"/>
  <c r="B67" i="19"/>
  <c r="B66" i="19"/>
  <c r="D65" i="19"/>
  <c r="B65" i="19"/>
  <c r="B53" i="19"/>
  <c r="B54" i="19"/>
  <c r="B55" i="19"/>
  <c r="B56" i="19"/>
  <c r="B57" i="19"/>
  <c r="B58" i="19"/>
  <c r="B59" i="19"/>
  <c r="D59" i="19"/>
  <c r="B60" i="19"/>
  <c r="B61" i="19"/>
  <c r="B62" i="19"/>
  <c r="B63" i="19"/>
  <c r="B64" i="19"/>
  <c r="D52" i="19"/>
  <c r="B52" i="19"/>
  <c r="B39" i="19"/>
  <c r="D48" i="19"/>
  <c r="D49" i="19"/>
  <c r="D50" i="19"/>
  <c r="D47" i="19"/>
  <c r="D41" i="19"/>
  <c r="D42" i="19"/>
  <c r="D43" i="19"/>
  <c r="D44" i="19"/>
  <c r="B18" i="19"/>
  <c r="B19" i="19"/>
  <c r="B20" i="19"/>
  <c r="B21" i="19"/>
  <c r="B22" i="19"/>
  <c r="B23" i="19"/>
  <c r="D24" i="19"/>
  <c r="B25" i="19"/>
  <c r="B26" i="19"/>
  <c r="B27" i="19"/>
  <c r="B28" i="19"/>
  <c r="B29" i="19"/>
  <c r="B30" i="19"/>
  <c r="D31" i="19"/>
  <c r="B32" i="19"/>
  <c r="B33" i="19"/>
  <c r="B34" i="19"/>
  <c r="B35" i="19"/>
  <c r="B36" i="19"/>
  <c r="B37" i="19"/>
  <c r="D39" i="19"/>
  <c r="B40" i="19"/>
  <c r="B41" i="19"/>
  <c r="B42" i="19"/>
  <c r="B43" i="19"/>
  <c r="B44" i="19"/>
  <c r="B45" i="19"/>
  <c r="B46" i="19"/>
  <c r="D46" i="19"/>
  <c r="B47" i="19"/>
  <c r="B48" i="19"/>
  <c r="B49" i="19"/>
  <c r="B50" i="19"/>
  <c r="B51" i="19"/>
  <c r="D17" i="19"/>
  <c r="E16" i="19"/>
  <c r="D41" i="3"/>
  <c r="C43" i="3" s="1"/>
  <c r="D33" i="19" s="1"/>
  <c r="D34" i="3"/>
  <c r="C36" i="3" s="1"/>
  <c r="D26" i="19" s="1"/>
  <c r="D27" i="3"/>
  <c r="C31" i="3" s="1"/>
  <c r="D21" i="19" s="1"/>
  <c r="D61" i="3"/>
  <c r="G30" i="1"/>
  <c r="N3" i="2"/>
  <c r="N4" i="2"/>
  <c r="N5" i="2"/>
  <c r="N6" i="2"/>
  <c r="N7" i="2"/>
  <c r="N8" i="2"/>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2" i="2"/>
  <c r="C19" i="20"/>
  <c r="F7" i="1"/>
  <c r="C42" i="3" l="1"/>
  <c r="D32" i="19" s="1"/>
  <c r="C35" i="3"/>
  <c r="D25" i="19" s="1"/>
  <c r="C46" i="3"/>
  <c r="D36" i="19" s="1"/>
  <c r="C45" i="3"/>
  <c r="D35" i="19" s="1"/>
  <c r="C30" i="3"/>
  <c r="D20" i="19" s="1"/>
  <c r="C29" i="3"/>
  <c r="D19" i="19" s="1"/>
  <c r="C37" i="3"/>
  <c r="D27" i="19" s="1"/>
  <c r="C32" i="3"/>
  <c r="D22" i="19" s="1"/>
  <c r="C28" i="3"/>
  <c r="D18" i="19" s="1"/>
  <c r="C44" i="3"/>
  <c r="D34" i="19" s="1"/>
  <c r="C38" i="3"/>
  <c r="D28" i="19" s="1"/>
  <c r="D51" i="19"/>
  <c r="D64" i="19"/>
  <c r="D84" i="19"/>
  <c r="D90" i="19"/>
  <c r="D77" i="19"/>
  <c r="D71" i="19"/>
  <c r="D58" i="19"/>
  <c r="D45" i="19"/>
  <c r="C39" i="3"/>
  <c r="D29" i="19" s="1"/>
  <c r="C13" i="9"/>
  <c r="C15" i="9"/>
  <c r="C14" i="9"/>
  <c r="C33" i="3" l="1"/>
  <c r="D23" i="19" s="1"/>
  <c r="C40" i="3"/>
  <c r="D30" i="19" s="1"/>
  <c r="E91" i="19"/>
  <c r="B15" i="19"/>
  <c r="D10" i="19"/>
  <c r="B11" i="19"/>
  <c r="D11" i="19"/>
  <c r="B12" i="19"/>
  <c r="D12" i="19"/>
  <c r="B13" i="19"/>
  <c r="B14" i="19"/>
  <c r="D14" i="19"/>
  <c r="D9" i="19"/>
  <c r="B9" i="19"/>
  <c r="B8" i="19"/>
  <c r="B4" i="19"/>
  <c r="D4" i="19"/>
  <c r="B5" i="19"/>
  <c r="D5" i="19"/>
  <c r="B6" i="19"/>
  <c r="D6" i="19"/>
  <c r="B7" i="19"/>
  <c r="D7" i="19"/>
  <c r="D3" i="19"/>
  <c r="B3" i="19"/>
  <c r="D2" i="19"/>
  <c r="B2" i="19"/>
  <c r="K40" i="1" l="1"/>
  <c r="J40" i="1"/>
  <c r="F34" i="1"/>
  <c r="F35" i="1"/>
  <c r="F36" i="1"/>
  <c r="F37" i="1"/>
  <c r="F38" i="1"/>
  <c r="F39" i="1"/>
  <c r="F33" i="1"/>
  <c r="F35" i="2"/>
  <c r="O35" i="2" s="1"/>
  <c r="F36" i="2"/>
  <c r="O36" i="2" s="1"/>
  <c r="F37" i="2"/>
  <c r="O37" i="2" s="1"/>
  <c r="F38" i="2"/>
  <c r="O38" i="2" s="1"/>
  <c r="F34" i="2"/>
  <c r="O34" i="2" s="1"/>
  <c r="F29" i="2"/>
  <c r="O29" i="2" s="1"/>
  <c r="F30" i="2"/>
  <c r="O30" i="2" s="1"/>
  <c r="F31" i="2"/>
  <c r="O31" i="2" s="1"/>
  <c r="F28" i="2"/>
  <c r="O28" i="2" s="1"/>
  <c r="F23" i="2"/>
  <c r="O23" i="2" s="1"/>
  <c r="F24" i="2"/>
  <c r="O24" i="2" s="1"/>
  <c r="F25" i="2"/>
  <c r="O25" i="2" s="1"/>
  <c r="F22" i="2"/>
  <c r="O22" i="2" s="1"/>
  <c r="F13" i="2"/>
  <c r="O13" i="2" s="1"/>
  <c r="F14" i="2"/>
  <c r="O14" i="2" s="1"/>
  <c r="F15" i="2"/>
  <c r="O15" i="2" s="1"/>
  <c r="F16" i="2"/>
  <c r="O16" i="2" s="1"/>
  <c r="F17" i="2"/>
  <c r="O17" i="2" s="1"/>
  <c r="F18" i="2"/>
  <c r="O18" i="2" s="1"/>
  <c r="F19" i="2"/>
  <c r="O19" i="2" s="1"/>
  <c r="F12" i="2"/>
  <c r="O12" i="2" s="1"/>
  <c r="F3" i="2"/>
  <c r="O3" i="2" s="1"/>
  <c r="F4" i="2"/>
  <c r="O4" i="2" s="1"/>
  <c r="F5" i="2"/>
  <c r="O5" i="2" s="1"/>
  <c r="F6" i="2"/>
  <c r="O6" i="2" s="1"/>
  <c r="F7" i="2"/>
  <c r="O7" i="2" s="1"/>
  <c r="F8" i="2"/>
  <c r="O8" i="2" s="1"/>
  <c r="F9" i="2"/>
  <c r="O9" i="2" s="1"/>
  <c r="F2" i="2"/>
  <c r="O2" i="2" s="1"/>
  <c r="G24" i="1"/>
  <c r="L22" i="3"/>
  <c r="L23" i="3"/>
  <c r="L24" i="3"/>
  <c r="L25" i="3"/>
  <c r="L26" i="3"/>
  <c r="L27" i="3"/>
  <c r="L28" i="3"/>
  <c r="L29" i="3"/>
  <c r="L30" i="3"/>
  <c r="L31" i="3"/>
  <c r="L32" i="3"/>
  <c r="L33" i="3"/>
  <c r="L34" i="3"/>
  <c r="L35" i="3"/>
  <c r="L21" i="3"/>
  <c r="H22" i="3"/>
  <c r="H23" i="3"/>
  <c r="H24" i="3"/>
  <c r="H25" i="3"/>
  <c r="H26" i="3"/>
  <c r="H27" i="3"/>
  <c r="H28" i="3"/>
  <c r="H29" i="3"/>
  <c r="H30" i="3"/>
  <c r="H31" i="3"/>
  <c r="H32" i="3"/>
  <c r="H33" i="3"/>
  <c r="H34" i="3"/>
  <c r="H35" i="3"/>
  <c r="H21" i="3"/>
  <c r="H67" i="2"/>
  <c r="H68" i="2"/>
  <c r="H66" i="2"/>
  <c r="F5" i="1"/>
  <c r="D26" i="9" l="1"/>
  <c r="C53" i="1"/>
  <c r="G53" i="1" s="1" a="1"/>
  <c r="C54" i="1"/>
  <c r="G54" i="1" s="1" a="1"/>
  <c r="C51" i="1"/>
  <c r="G51" i="1" s="1" a="1"/>
  <c r="C55" i="1"/>
  <c r="G55" i="1" s="1" a="1"/>
  <c r="C50" i="1"/>
  <c r="G50" i="1" s="1" a="1"/>
  <c r="C56" i="1"/>
  <c r="G56" i="1" s="1" a="1"/>
  <c r="C49" i="1"/>
  <c r="G49" i="1" s="1" a="1"/>
  <c r="C52" i="1"/>
  <c r="G52" i="1" s="1" a="1"/>
  <c r="D27" i="9"/>
  <c r="D28" i="9"/>
  <c r="H36" i="1"/>
  <c r="H35" i="1"/>
  <c r="H34" i="1"/>
  <c r="H37" i="1"/>
  <c r="H38" i="1"/>
  <c r="H39" i="1"/>
  <c r="H33" i="1"/>
  <c r="C30" i="39" s="1"/>
  <c r="D30" i="39" s="1"/>
  <c r="E55" i="1" a="1"/>
  <c r="E51" i="1" a="1"/>
  <c r="F53" i="1" a="1"/>
  <c r="F56" i="1" a="1"/>
  <c r="E56" i="1" a="1"/>
  <c r="F55" i="1" a="1"/>
  <c r="E53" i="1" a="1"/>
  <c r="E50" i="1" a="1"/>
  <c r="F52" i="1" a="1"/>
  <c r="E54" i="1" a="1"/>
  <c r="E49" i="1" a="1"/>
  <c r="E52" i="1" a="1"/>
  <c r="C33" i="39" l="1"/>
  <c r="D33" i="39" s="1"/>
  <c r="C31" i="39"/>
  <c r="D31" i="39" s="1"/>
  <c r="C35" i="39"/>
  <c r="D35" i="39" s="1"/>
  <c r="C34" i="39"/>
  <c r="D34" i="39" s="1"/>
  <c r="C36" i="39"/>
  <c r="D36" i="39" s="1"/>
  <c r="C32" i="39"/>
  <c r="D32" i="39" s="1"/>
  <c r="G49" i="1"/>
  <c r="G51" i="1"/>
  <c r="G56" i="1"/>
  <c r="G54" i="1"/>
  <c r="G50" i="1"/>
  <c r="G53" i="1"/>
  <c r="G52" i="1"/>
  <c r="G55" i="1"/>
  <c r="F52" i="1"/>
  <c r="F55" i="1"/>
  <c r="E49" i="1"/>
  <c r="I49" i="1" s="1"/>
  <c r="F56" i="1"/>
  <c r="F53" i="1"/>
  <c r="E55" i="1"/>
  <c r="I55" i="1" s="1"/>
  <c r="E51" i="1"/>
  <c r="I51" i="1" s="1"/>
  <c r="E52" i="1"/>
  <c r="I52" i="1" s="1"/>
  <c r="E56" i="1"/>
  <c r="I56" i="1" s="1"/>
  <c r="E54" i="1"/>
  <c r="I54" i="1" s="1"/>
  <c r="E50" i="1"/>
  <c r="I50" i="1" s="1"/>
  <c r="E53" i="1"/>
  <c r="I53" i="1" s="1"/>
  <c r="L51" i="1"/>
  <c r="D51" i="1" s="1"/>
  <c r="L52" i="1"/>
  <c r="D52" i="1" s="1"/>
  <c r="L54" i="1"/>
  <c r="D54" i="1" s="1"/>
  <c r="L50" i="1"/>
  <c r="D50" i="1" s="1"/>
  <c r="L53" i="1"/>
  <c r="D53" i="1" s="1"/>
  <c r="L56" i="1"/>
  <c r="D56" i="1" s="1"/>
  <c r="L55" i="1"/>
  <c r="D55" i="1" s="1"/>
  <c r="F54" i="1" a="1"/>
  <c r="F49" i="1" a="1"/>
  <c r="D37" i="39" l="1"/>
  <c r="F49" i="1"/>
  <c r="F54" i="1"/>
  <c r="F51" i="1" a="1"/>
  <c r="F50" i="1" a="1"/>
  <c r="F51" i="1" l="1"/>
  <c r="F50" i="1"/>
  <c r="P40" i="1"/>
  <c r="R39" i="1" l="1"/>
  <c r="G33" i="1"/>
  <c r="I33" i="1" s="1"/>
  <c r="C19" i="3"/>
  <c r="D13" i="19" s="1"/>
  <c r="C60" i="3"/>
  <c r="C54" i="3"/>
  <c r="C47" i="3"/>
  <c r="D37" i="19" s="1"/>
  <c r="C26" i="3"/>
  <c r="C14" i="3"/>
  <c r="H40" i="1"/>
  <c r="G34" i="1"/>
  <c r="I34" i="1" s="1"/>
  <c r="G35" i="1"/>
  <c r="I35" i="1" s="1"/>
  <c r="G36" i="1"/>
  <c r="I36" i="1" s="1"/>
  <c r="G37" i="1"/>
  <c r="I37" i="1" s="1"/>
  <c r="G38" i="1"/>
  <c r="I38" i="1" s="1"/>
  <c r="G39" i="1"/>
  <c r="I39" i="1" s="1"/>
  <c r="D62" i="2"/>
  <c r="D61" i="2"/>
  <c r="D60" i="2"/>
  <c r="D59" i="2"/>
  <c r="D58" i="2"/>
  <c r="D57" i="2"/>
  <c r="D56" i="2"/>
  <c r="D55" i="2"/>
  <c r="D54" i="2"/>
  <c r="D53" i="2"/>
  <c r="D52" i="2"/>
  <c r="D51" i="2"/>
  <c r="H39" i="2"/>
  <c r="I39" i="2"/>
  <c r="J39" i="2"/>
  <c r="K39" i="2"/>
  <c r="G39" i="2"/>
  <c r="K32" i="2"/>
  <c r="G32" i="2"/>
  <c r="J26" i="2"/>
  <c r="K26" i="2"/>
  <c r="G26" i="2"/>
  <c r="K20" i="2"/>
  <c r="J20" i="2"/>
  <c r="I20" i="2"/>
  <c r="H20" i="2"/>
  <c r="G20" i="2"/>
  <c r="D10" i="9"/>
  <c r="D33" i="9"/>
  <c r="D24" i="9"/>
  <c r="D6" i="9"/>
  <c r="C7" i="20" s="1"/>
  <c r="H10" i="2"/>
  <c r="I10" i="2"/>
  <c r="J10" i="2"/>
  <c r="K10" i="2"/>
  <c r="G10" i="2"/>
  <c r="E17" i="1"/>
  <c r="F17" i="1" s="1"/>
  <c r="D47" i="3" l="1"/>
  <c r="C21" i="3"/>
  <c r="D15" i="19" s="1"/>
  <c r="D72" i="3"/>
  <c r="C8" i="3"/>
  <c r="D8" i="19" s="1"/>
  <c r="K23" i="1"/>
  <c r="I40" i="1"/>
  <c r="R44" i="1" s="1"/>
  <c r="R42" i="1" s="1"/>
  <c r="R43" i="1" s="1"/>
  <c r="R41" i="1" l="1"/>
  <c r="P54" i="1"/>
  <c r="P55" i="1"/>
  <c r="Q55" i="1" s="1"/>
  <c r="P56" i="1"/>
  <c r="Q56" i="1" s="1"/>
  <c r="D62" i="3"/>
  <c r="E38" i="19"/>
  <c r="E93" i="19" s="1"/>
  <c r="P51" i="1"/>
  <c r="P50" i="1"/>
  <c r="P53" i="1"/>
  <c r="P52" i="1"/>
  <c r="Q52" i="1" s="1"/>
  <c r="R40" i="1"/>
  <c r="D26" i="3"/>
  <c r="R52" i="1" l="1"/>
  <c r="S52" i="1" s="1"/>
  <c r="R56" i="1"/>
  <c r="S56" i="1" s="1"/>
  <c r="R55" i="1"/>
  <c r="S55" i="1" s="1"/>
  <c r="D73" i="3"/>
  <c r="H52" i="1" a="1"/>
  <c r="H55" i="1" a="1"/>
  <c r="H56" i="1" a="1"/>
  <c r="T49" i="1" l="1"/>
  <c r="N49" i="1" s="1"/>
  <c r="T50" i="1"/>
  <c r="N50" i="1" s="1"/>
  <c r="T54" i="1"/>
  <c r="N54" i="1" s="1"/>
  <c r="T51" i="1"/>
  <c r="N51" i="1" s="1"/>
  <c r="T55" i="1"/>
  <c r="N55" i="1" s="1"/>
  <c r="T52" i="1"/>
  <c r="N52" i="1" s="1"/>
  <c r="T56" i="1"/>
  <c r="N56" i="1" s="1"/>
  <c r="T53" i="1"/>
  <c r="N53" i="1" s="1"/>
  <c r="H56" i="1"/>
  <c r="K56" i="1" s="1"/>
  <c r="H55" i="1"/>
  <c r="K55" i="1" s="1"/>
  <c r="H52" i="1"/>
  <c r="K52" i="1" s="1"/>
  <c r="Q53" i="1"/>
  <c r="Q54" i="1"/>
  <c r="Q50" i="1"/>
  <c r="R50" i="1" s="1"/>
  <c r="Q51" i="1"/>
  <c r="R54" i="1" l="1"/>
  <c r="S54" i="1" s="1"/>
  <c r="R51" i="1"/>
  <c r="S51" i="1" s="1"/>
  <c r="R53" i="1"/>
  <c r="S53" i="1" s="1"/>
  <c r="S50" i="1"/>
  <c r="H53" i="1" a="1"/>
  <c r="H50" i="1" a="1"/>
  <c r="H54" i="1" a="1"/>
  <c r="H51" i="1" a="1"/>
  <c r="H53" i="1" l="1"/>
  <c r="K53" i="1" s="1"/>
  <c r="H51" i="1"/>
  <c r="K51" i="1" s="1"/>
  <c r="H54" i="1"/>
  <c r="K54" i="1" s="1"/>
  <c r="H50" i="1"/>
  <c r="K50" i="1" s="1"/>
  <c r="L49" i="1" l="1"/>
  <c r="D49" i="1" s="1"/>
  <c r="P49" i="1" l="1"/>
  <c r="Q49" i="1" l="1"/>
  <c r="R49" i="1" s="1"/>
  <c r="S49" i="1" s="1"/>
  <c r="H49" i="1" a="1"/>
  <c r="H49" i="1" l="1"/>
  <c r="K49" i="1" l="1"/>
  <c r="E58" i="1" s="1"/>
  <c r="F58"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ED925C7-1DAC-4F3D-A730-A91629A0B832}" keepAlive="1" name="Consulta - GenerarResolucion" description="Conexión a la consulta 'GenerarResolucion' en el libro." type="5" refreshedVersion="8" background="1" saveData="1">
    <dbPr connection="Provider=Microsoft.Mashup.OleDb.1;Data Source=$Workbook$;Location=GenerarResolucion;Extended Properties=&quot;&quot;" command="SELECT * FROM [GenerarResolucion]"/>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<sst xmlns="http://schemas.openxmlformats.org/spreadsheetml/2006/main" count="695" uniqueCount="389">
  <si>
    <t>CONTENIDO DE LA OFERTA</t>
  </si>
  <si>
    <t>La oferta comprenderá:</t>
  </si>
  <si>
    <t>1.1</t>
  </si>
  <si>
    <t>Archivo criterios juicio de valor. Documentación relativa a criterios cuya cuantificación dependa de un juicio de valor</t>
  </si>
  <si>
    <t xml:space="preserve">Memoria técnica </t>
  </si>
  <si>
    <t>El licitador  deberá observar especial cuidado a la hora de confeccionar la documentación a incluir en este archivo, ajustándose a las indicaciones dictadas respecto a su contenido. Igualmente, no se podrán hacer referencias que puedan orientar o dar a conocer aspectos sobre la documentación relativa a criterios evaluables mediante la utilización de fórmulas. Las ofertas que contravengan estos principios serán desestimadas y excluidas del procedimiento.</t>
  </si>
  <si>
    <t>Archivo criterios fórmulas. Documentación relativa a criterios evaluables mediante la utilización de fórmulas</t>
  </si>
  <si>
    <t>2.1</t>
  </si>
  <si>
    <t>Precios unitarios ofertados para la ejecución del contrato basado</t>
  </si>
  <si>
    <t>Oferta sobre los precios unitarios ofertados para la ejecución del contrato basado conforme al modelo de la hoja "EMPRESA".</t>
  </si>
  <si>
    <t>A tal efecto, téngase a la vista que los precios unitarios ofertados para la ejecución del contrato basado, en función de los concretos medios humanos a adscribir a su ejecución, no podrán ser superiores a los ofertados para participar en el Acuerdo Marco.</t>
  </si>
  <si>
    <t>Cuando se identifique una oferta que pueda ser considerada anormal, deberá darse audiencia al/a los licitador/es que la haya/n presentado para que justifique/n la valoración de la oferta y precise/n las condiciones de la misma.</t>
  </si>
  <si>
    <t>2.2</t>
  </si>
  <si>
    <t xml:space="preserve">Los medios humanos a adscribir a la ejecución del contrato basado </t>
  </si>
  <si>
    <t>Oferta sobre los medios humanos a adscribir a la ejecución del contrato basado conforme al modelo de la hoja "EMPRESA", junto con los correspondientes CVs.</t>
  </si>
  <si>
    <t>A tal efecto, téngase a la vista que los perfiles que deberán adscribirse a la ejecución del contrato basado se identifican en la hoja "Resumen global".</t>
  </si>
  <si>
    <t>Otra información</t>
  </si>
  <si>
    <t>El Anexo I del Documento de Licitación cumplimentado. 
En su caso, descripción de la parte del contrato basado que el suscriptor tenga previsto subcontratar, señalando el porcentaje del contrato basado que se pretende subcontratar y el nombre o el perfil empresarial de los subcontratistas a los que se vaya a encomendar su realización.</t>
  </si>
  <si>
    <t>CRITERIOS DE ADJUDICACIÓN</t>
  </si>
  <si>
    <t>Los criterios de adjudicación, indicados con su ponderación correspondiente, serán los siguientes</t>
  </si>
  <si>
    <t>Criterios cuya cuantificación dependa de un juicio de valor.</t>
  </si>
  <si>
    <t>La memoria técnica propuesta. Se valorará hasta un máximo de puntuación del</t>
  </si>
  <si>
    <t>Ver documento de bases técnicas para el detalle de criterios de valoración.</t>
  </si>
  <si>
    <t>Criterios evaluables mediante la utilización de fórmulas.</t>
  </si>
  <si>
    <t xml:space="preserve">Precios unitarios ofertados. Se valorará hasta un máximo de puntuación del </t>
  </si>
  <si>
    <t>Se valorarán de acuerdo a la siguiente fórmula:</t>
  </si>
  <si>
    <t xml:space="preserve">Siendo, </t>
  </si>
  <si>
    <t xml:space="preserve">P: Puntuación de la oferta a valorar </t>
  </si>
  <si>
    <t xml:space="preserve">B: Baja = 1 - (Importe ofertado) / (Importe máximo) </t>
  </si>
  <si>
    <t>Bmax: Baja máxima admitida</t>
  </si>
  <si>
    <t>Bmax: (Importe máximo -importe de la oferta más baja) / Importe máximo</t>
  </si>
  <si>
    <t>En el cuadro "Perfiles Demandados" se detallan los perfiles solicitados y la ponderación de cada perfil en la aplicación de la fórmula.</t>
  </si>
  <si>
    <t xml:space="preserve">Los medios humanos a adscribir a la ejecución del contrato basado. Se valorará hasta un máximo de puntuación del </t>
  </si>
  <si>
    <t>Se valorará, en relación con dichos medios humanos, el perfil y titulación, así como la experiencia en áreas funcionales y conocimientos en los entornos tecnológicos, de acuerdo a los siguientes criterios:</t>
  </si>
  <si>
    <t>- perfil y titulación:</t>
  </si>
  <si>
    <t>- experiencia en áreas funcionales:</t>
  </si>
  <si>
    <t>- conocimientos en los entornos tecnológicos:</t>
  </si>
  <si>
    <t>Los detalles de la puntuación de cada item se encuentran en la hoja Anexo valoraciones</t>
  </si>
  <si>
    <t>La puntuación de este apartado se calcula realizando la media ponderada de todos los miembros del equipo teniendo en cuenta la dedicación prevista de cada miembro y la ponderación establecida para cada perfil en el apartado de medios humanos.</t>
  </si>
  <si>
    <t xml:space="preserve">La calidad técnica de la oferta y del planteamiento de la ejecución presentados para participar en el Acuerdo Marco. Se valorará hasta un máximo de puntuación del </t>
  </si>
  <si>
    <t>La puntuación obtenida, de acuerdo con el apartado 19.1.2 del Cuadro de Características, en la valoración de la calidad técnica de la oferta y del planteamiento de la ejecución presentados para participar en el Acuerdo Marco será ajustada con arreglo a la fórmula contenida en el apartado 19.2.2 del Cuadro de Características.</t>
  </si>
  <si>
    <t>INSTRUCCIONES</t>
  </si>
  <si>
    <t>Se debe incorporar toda la información de la oferta tanto de los apartados de medios humanos como de los precios unitarios en la hoja EMPRESA.</t>
  </si>
  <si>
    <t>TOTAL TITULACIÓN</t>
  </si>
  <si>
    <t>(1)</t>
  </si>
  <si>
    <t>(2)</t>
  </si>
  <si>
    <t>(3)</t>
  </si>
  <si>
    <t>TOTAL AREAS FUNCIONALES</t>
  </si>
  <si>
    <t>(4)</t>
  </si>
  <si>
    <t>TOTAL CONOCIMIENTOS EN ENTORNOS TECNOLÓGICOS</t>
  </si>
  <si>
    <t>TOTAL</t>
  </si>
  <si>
    <t>Incidencias en ofertas</t>
  </si>
  <si>
    <t>No ha presentado oferta</t>
  </si>
  <si>
    <t>No ha sido invitada</t>
  </si>
  <si>
    <t>Datos del contrato</t>
  </si>
  <si>
    <t>Código de contrato (*)</t>
  </si>
  <si>
    <t>Lote(*)</t>
  </si>
  <si>
    <t>Garantía definitiva (*)</t>
  </si>
  <si>
    <t>Tipo de servicio (*)</t>
  </si>
  <si>
    <t>Valor estimado del contrato (*)</t>
  </si>
  <si>
    <t>€ (IVA no incluido)</t>
  </si>
  <si>
    <t>Criterio precio (*)</t>
  </si>
  <si>
    <t>Forma de pago (*)</t>
  </si>
  <si>
    <t>Criterios de adjudicación (*)</t>
  </si>
  <si>
    <t>Medios humanos</t>
  </si>
  <si>
    <t>Precio</t>
  </si>
  <si>
    <t>Puntuación homologación</t>
  </si>
  <si>
    <t>Memoria técnica</t>
  </si>
  <si>
    <t>TOTAL CRITERIOS</t>
  </si>
  <si>
    <t>Entornos tecnológicos a valorar (seleccionar al menos un entorno)</t>
  </si>
  <si>
    <t>Factor ponderación (%)</t>
  </si>
  <si>
    <t>Ponderación medios humanos</t>
  </si>
  <si>
    <t>Entorno 1</t>
  </si>
  <si>
    <t>Titulación</t>
  </si>
  <si>
    <t>Entorno 2</t>
  </si>
  <si>
    <t>Experiencia en áreas funcionales</t>
  </si>
  <si>
    <t>Entorno 3</t>
  </si>
  <si>
    <t>Conocimientos en los entornos tecnológicos</t>
  </si>
  <si>
    <t>Entorno 4</t>
  </si>
  <si>
    <t>Áreas funcionales a valorar</t>
  </si>
  <si>
    <t>Área funcional 1</t>
  </si>
  <si>
    <t>Área funcional 2</t>
  </si>
  <si>
    <t>Área funcional 3</t>
  </si>
  <si>
    <t>Sólo rellenar en caso de haber seleccionado tipo de servicio por horas</t>
  </si>
  <si>
    <t>Periles Demandados</t>
  </si>
  <si>
    <t>Perfil</t>
  </si>
  <si>
    <t>Factor ponderación Medios humanos (%)</t>
  </si>
  <si>
    <t>Importe máximo (€)</t>
  </si>
  <si>
    <t>Factor ponderación Precio (%)</t>
  </si>
  <si>
    <t>Aportación a tarifa máxima calculada (Euros)</t>
  </si>
  <si>
    <t>Número de técnicos</t>
  </si>
  <si>
    <t>Número de horas (total técnicos)
Vigencia inicial</t>
  </si>
  <si>
    <t>Perfil 1</t>
  </si>
  <si>
    <t>Perfil 2</t>
  </si>
  <si>
    <t>Perfil 3</t>
  </si>
  <si>
    <t>Cálculos  criterio de precio</t>
  </si>
  <si>
    <t>Perfil 4</t>
  </si>
  <si>
    <t>Puntos otorgar</t>
  </si>
  <si>
    <t>Perfil 5</t>
  </si>
  <si>
    <t>% BAJA para otorgar puntuación máxima</t>
  </si>
  <si>
    <t>Perfil 6</t>
  </si>
  <si>
    <t>Baja desproporcionada</t>
  </si>
  <si>
    <t>Perfil 7</t>
  </si>
  <si>
    <t>Oferta mas baja</t>
  </si>
  <si>
    <t>Indicar aquí requisitos mínimos o máximos de perfiles con conocimientos específicos si se considera necesario:</t>
  </si>
  <si>
    <t>Bmax</t>
  </si>
  <si>
    <t>Media Aritmética de precios</t>
  </si>
  <si>
    <t>Precio oferta</t>
  </si>
  <si>
    <t>A rellenar una vez recibidas las ofertas:</t>
  </si>
  <si>
    <t xml:space="preserve">                          Puntuación oferta</t>
  </si>
  <si>
    <t>Empresa</t>
  </si>
  <si>
    <t>Empresa2</t>
  </si>
  <si>
    <t>Importe oferta</t>
  </si>
  <si>
    <t>Precio medio</t>
  </si>
  <si>
    <t>Memoria técnica  (Máximo 10)</t>
  </si>
  <si>
    <t>Columna3</t>
  </si>
  <si>
    <t>Oferta válida</t>
  </si>
  <si>
    <t>Baja</t>
  </si>
  <si>
    <t>Puntos sobre 100</t>
  </si>
  <si>
    <t>Puntos finales</t>
  </si>
  <si>
    <t>Desproporcionada</t>
  </si>
  <si>
    <t>Puntuación máxima:</t>
  </si>
  <si>
    <t>Puntuación Medios humanos</t>
  </si>
  <si>
    <t>Puntuación Precio</t>
  </si>
  <si>
    <t>Puntuación acuerdo marco</t>
  </si>
  <si>
    <t>Puntuación TOTAL</t>
  </si>
  <si>
    <t>Ordenacion</t>
  </si>
  <si>
    <t>Observaciones</t>
  </si>
  <si>
    <t>Empresa (empresasX)</t>
  </si>
  <si>
    <t>Calidad técnica de la oferta (máx 29)</t>
  </si>
  <si>
    <t>Planteamiento de la ejecución de la prestación del servicio (máx 20)</t>
  </si>
  <si>
    <t>Puntuación Homologación</t>
  </si>
  <si>
    <t>Precio CS</t>
  </si>
  <si>
    <t>Precio CA</t>
  </si>
  <si>
    <t>Precio Grupo A</t>
  </si>
  <si>
    <t>Precio Grupo B</t>
  </si>
  <si>
    <t>Precio Grupo C</t>
  </si>
  <si>
    <t>Lote</t>
  </si>
  <si>
    <t>Garantía (meses)</t>
  </si>
  <si>
    <t>1_1</t>
  </si>
  <si>
    <t>1_2</t>
  </si>
  <si>
    <t>INETUM</t>
  </si>
  <si>
    <t>INETUM NORTE, S.L.U.</t>
  </si>
  <si>
    <t>1_3</t>
  </si>
  <si>
    <t>SERIKAT</t>
  </si>
  <si>
    <t>SERIKAT CONSULTORÍA E INFORMÁTICA, S.A.</t>
  </si>
  <si>
    <t>1_4</t>
  </si>
  <si>
    <t>DEUSTO</t>
  </si>
  <si>
    <t>DEUSTO SEIDOR S.A.</t>
  </si>
  <si>
    <t>1_5</t>
  </si>
  <si>
    <t>TEKNEI DIGITAL S.A.U., TEKNEI INFORMATION  TECHNOLOGY S.L., SISTEMAS Y TRATAMIENTOS INFORMÁTICOS S.L.U., MATHEMATICS FOR LIFE S.L., MERKATU INTERACTIVA S.L.</t>
  </si>
  <si>
    <t>1_6</t>
  </si>
  <si>
    <t>NTT_DATA</t>
  </si>
  <si>
    <t>NTT DATA SPAIN S.L.U. ,NTT DATA CENTERS S.L.U. , UNIÓN TEMPORAL DE EMPRESAS</t>
  </si>
  <si>
    <t>1_7</t>
  </si>
  <si>
    <t>IBERMATICA</t>
  </si>
  <si>
    <t>IBERMÁTICA, S.A.</t>
  </si>
  <si>
    <t>1_8</t>
  </si>
  <si>
    <t>INDRA</t>
  </si>
  <si>
    <t>INDRA SOLUCIONES TECNOLOGIAS DE LA INFORMACION, S.L.U</t>
  </si>
  <si>
    <t>Máximo</t>
  </si>
  <si>
    <t>2_1</t>
  </si>
  <si>
    <t>UTE_ARIMA-ADIMEDIA</t>
  </si>
  <si>
    <t>COMUNICACIÓN INTERACTIVA ADIMEDIA, S.L. Y ARIMA SOFTWARE DESIGN, S.L., UNIÓN TEMPORAL DE EMPRESAS</t>
  </si>
  <si>
    <t>2_2</t>
  </si>
  <si>
    <t>DEUSTO SEIDOR, S.A.</t>
  </si>
  <si>
    <t>2_3</t>
  </si>
  <si>
    <t>2_4</t>
  </si>
  <si>
    <t>NTT DATA SPAIN, S.L.</t>
  </si>
  <si>
    <t>2_5</t>
  </si>
  <si>
    <t>2_6</t>
  </si>
  <si>
    <t>2_7</t>
  </si>
  <si>
    <t>2_8</t>
  </si>
  <si>
    <t>3_1</t>
  </si>
  <si>
    <t>ECONOCOM</t>
  </si>
  <si>
    <t>ECONOCOM SERVICIOS S.A.</t>
  </si>
  <si>
    <t>3_2</t>
  </si>
  <si>
    <t>3_3</t>
  </si>
  <si>
    <t>SOPRA</t>
  </si>
  <si>
    <t>SOPRA STERIA EUSKADI, S.L.</t>
  </si>
  <si>
    <t>3_4</t>
  </si>
  <si>
    <t>VERSIA</t>
  </si>
  <si>
    <t>VERSIA SISTEMAS TI, S.A.</t>
  </si>
  <si>
    <t>4_1</t>
  </si>
  <si>
    <t>4_2</t>
  </si>
  <si>
    <t>4_3</t>
  </si>
  <si>
    <t>K35</t>
  </si>
  <si>
    <t>K35 IT MANAGERS GROUP, S.L.</t>
  </si>
  <si>
    <t>4_4</t>
  </si>
  <si>
    <t>VERSIA CONTACT CENTER, S.L.</t>
  </si>
  <si>
    <t>5_1</t>
  </si>
  <si>
    <t>5_2</t>
  </si>
  <si>
    <t>5_3</t>
  </si>
  <si>
    <t>5_4</t>
  </si>
  <si>
    <t>SOLUTIA</t>
  </si>
  <si>
    <t>SOLUTIA INNOVAWORLD TECHNOLOGIES, S.L.</t>
  </si>
  <si>
    <t>5_5</t>
  </si>
  <si>
    <t>Máximo homologación</t>
  </si>
  <si>
    <t>lotes</t>
  </si>
  <si>
    <t>garantía</t>
  </si>
  <si>
    <t>1 - Desarrollo</t>
  </si>
  <si>
    <t>Sí</t>
  </si>
  <si>
    <t>2 - Desarrollo - elementos comunes</t>
  </si>
  <si>
    <t>No</t>
  </si>
  <si>
    <t>3 - Asistencia técnica - sistemas</t>
  </si>
  <si>
    <t>4 - Asistencia técnica - microinformática</t>
  </si>
  <si>
    <t>5 - Soporte y Service desk</t>
  </si>
  <si>
    <t>Perfiles</t>
  </si>
  <si>
    <t>Precio máximo Hora (acuerdo marco)</t>
  </si>
  <si>
    <t>CS</t>
  </si>
  <si>
    <t>Coordinador/a del servicio</t>
  </si>
  <si>
    <t>CA</t>
  </si>
  <si>
    <t>Consultor/a-Arquitecto/a</t>
  </si>
  <si>
    <t>TDA</t>
  </si>
  <si>
    <t>Técnico/a de desarrollo A</t>
  </si>
  <si>
    <t>SOA</t>
  </si>
  <si>
    <t>Técnico/a de soporte A</t>
  </si>
  <si>
    <t>TDB</t>
  </si>
  <si>
    <t>Técnico/a de desarrollo B</t>
  </si>
  <si>
    <t>TSB</t>
  </si>
  <si>
    <t>Técnico/a de  sistemas B</t>
  </si>
  <si>
    <t>SOB</t>
  </si>
  <si>
    <t>Técnico/a de soporte B</t>
  </si>
  <si>
    <t>D</t>
  </si>
  <si>
    <t>Diseñador/a</t>
  </si>
  <si>
    <t>TDC</t>
  </si>
  <si>
    <t>Técnico/a de desarrollo C</t>
  </si>
  <si>
    <t>TSC</t>
  </si>
  <si>
    <t>Técnico/a de sistemas C</t>
  </si>
  <si>
    <t>SOC</t>
  </si>
  <si>
    <t>Técnico/a de soporte C</t>
  </si>
  <si>
    <t>M</t>
  </si>
  <si>
    <t>Maquetador/a</t>
  </si>
  <si>
    <t>Tipo contrato</t>
  </si>
  <si>
    <t>Total</t>
  </si>
  <si>
    <t>Horas</t>
  </si>
  <si>
    <t>ANS</t>
  </si>
  <si>
    <t>Proyecto cerrado</t>
  </si>
  <si>
    <t>Precio hora</t>
  </si>
  <si>
    <t>Formapago</t>
  </si>
  <si>
    <t>A</t>
  </si>
  <si>
    <t>Se emitirá la factura correspondiente a la finalización o cierre de cada tarea (definida como tal en la aplicación de gestión de proyectos de Izfe) y, en todo caso, a la finalización del mes en que la tarea en cuestión haya sido cerrada.</t>
  </si>
  <si>
    <t>P</t>
  </si>
  <si>
    <t>a. Se emitirá la factura correspondiente cuando, a la finalización del contrato basado, se verifique la recepción del objeto del contrato por parte de Izfe.</t>
  </si>
  <si>
    <t>b. Se emitirán las facturas correspondientes conforme a los hitos indicados en la Cláusula 2 “Alcance” del Pliego de Bases Técnicas, siempre que Izfe verifique el cumplimiento de estos hitos.</t>
  </si>
  <si>
    <t>La facturación se realizará del siguiente modo:
• Cuando el responsable en Izfe determine que el avance de cada subsistema entregable (*) ha llegado al 20%, se facturará el 20% del precio correspondiente a ese susbistema.
• Cuando el responsable en Izfe determine que el avance de cada subsistema entregable (*) ha llegado al 50%, se facturará el 30% del precio correspondiente a ese susbistema.
• Cuando el responsable en Izfe determine que el avance de cada subsistema entregable (*) ha llegado al 75%, se facturará el 25% del precio correspondiente a ese susbistema.
• El restante 25% del precio del contrato se facturará una vez finalizado, probado e implantado el sistema a entera satisfacción de Izfe.
(*) Este grado de avance se calculará en base al porcentaje de funcionalidades de cada subsistema entregable, definidas al inicio de la ejecución del contrato, cuyo desarrollo se dé por finalizado, probado e implantado a entera satisfacción de Izfe. 
El pago se realizará dentro de los 30 días naturales siguientes a la emisión de la factura correspondiente. El abono se efectuará mediante transferencia bancaria previa presentación de la factura correspondiente, que llevará la conformidad de la jefatura de Área correspondiente.”</t>
  </si>
  <si>
    <t>H</t>
  </si>
  <si>
    <t>El precio del contrato basado se abonará mensualmente, previa presentación de la correspondiente factura por el contratista. El importe mensual a abonar al contratista será el que resulte de aplicar al correspondiente precio unitario ofertado por el contratista las unidades efectivamente prestadas en el mes en cuestión.
El contratista deberá emitir la factura mensual detallada, en el plazo de treinta días naturales desde la finalización del mes a que correspondan los servicios.</t>
  </si>
  <si>
    <t>Entorno tecnológicos (entornosX)</t>
  </si>
  <si>
    <t>Lote 1</t>
  </si>
  <si>
    <t>Lote 2</t>
  </si>
  <si>
    <t>Lote 3</t>
  </si>
  <si>
    <t>Lote 4</t>
  </si>
  <si>
    <t>Lote 5</t>
  </si>
  <si>
    <t>IBM z/OS, Windows, Linux</t>
  </si>
  <si>
    <t>Sistemas:  Windows Server, Red Hat, CentOS, z/OS </t>
  </si>
  <si>
    <r>
      <t>Sistema:</t>
    </r>
    <r>
      <rPr>
        <sz val="10"/>
        <rFont val="Calibri"/>
        <family val="2"/>
        <charset val="1"/>
      </rPr>
      <t xml:space="preserve"> </t>
    </r>
    <r>
      <rPr>
        <sz val="10"/>
        <rFont val="Trebuchet MS"/>
        <family val="2"/>
      </rPr>
      <t>Windows Desktop, Windows Server, Linux, Mac </t>
    </r>
  </si>
  <si>
    <r>
      <t>Sistema Operativo:</t>
    </r>
    <r>
      <rPr>
        <sz val="10"/>
        <rFont val="Calibri"/>
        <family val="2"/>
        <charset val="1"/>
      </rPr>
      <t xml:space="preserve"> </t>
    </r>
    <r>
      <rPr>
        <sz val="10"/>
        <rFont val="Trebuchet MS"/>
        <family val="2"/>
      </rPr>
      <t>Windows, Linux, Mac, Android, iOS</t>
    </r>
  </si>
  <si>
    <t>CICS</t>
  </si>
  <si>
    <t>Contenedores:  Docker, Kubernetes, Openshift, VMware vSphere Integrated Containers </t>
  </si>
  <si>
    <r>
      <t>Navegadores:</t>
    </r>
    <r>
      <rPr>
        <sz val="10"/>
        <rFont val="Calibri"/>
        <family val="2"/>
        <charset val="1"/>
      </rPr>
      <t xml:space="preserve"> </t>
    </r>
    <r>
      <rPr>
        <sz val="10"/>
        <rFont val="Trebuchet MS"/>
        <family val="2"/>
      </rPr>
      <t>Firefox, Edge, Chrome, Safari </t>
    </r>
  </si>
  <si>
    <t>Cobol</t>
  </si>
  <si>
    <t>Tecnología Hardware de proceso: Blade Server </t>
  </si>
  <si>
    <r>
      <t>Emuladores:</t>
    </r>
    <r>
      <rPr>
        <sz val="10"/>
        <rFont val="Calibri"/>
        <family val="2"/>
        <charset val="1"/>
      </rPr>
      <t xml:space="preserve"> </t>
    </r>
    <r>
      <rPr>
        <sz val="10"/>
        <rFont val="Trebuchet MS"/>
        <family val="2"/>
      </rPr>
      <t>Quick3270, IBM HACP </t>
    </r>
  </si>
  <si>
    <r>
      <t>Ofimática y Mensajería:</t>
    </r>
    <r>
      <rPr>
        <sz val="10"/>
        <rFont val="Calibri"/>
        <family val="2"/>
        <charset val="1"/>
      </rPr>
      <t xml:space="preserve"> </t>
    </r>
    <r>
      <rPr>
        <sz val="10"/>
        <rFont val="Trebuchet MS"/>
        <family val="2"/>
      </rPr>
      <t>Microsoft Office, Access, LibreOffice, Exchange, Outlook, Outlook Web Access</t>
    </r>
  </si>
  <si>
    <t>Java, Java Script</t>
  </si>
  <si>
    <t>Plataforma Hyperconvergecia:  VMware vSAN </t>
  </si>
  <si>
    <r>
      <t>Mensajería:</t>
    </r>
    <r>
      <rPr>
        <sz val="10"/>
        <rFont val="Calibri"/>
        <family val="2"/>
        <charset val="1"/>
      </rPr>
      <t xml:space="preserve"> </t>
    </r>
    <r>
      <rPr>
        <sz val="10"/>
        <rFont val="Trebuchet MS"/>
        <family val="2"/>
      </rPr>
      <t>Exchange </t>
    </r>
  </si>
  <si>
    <r>
      <t>Soporte: </t>
    </r>
    <r>
      <rPr>
        <sz val="10"/>
        <color rgb="FF000000"/>
        <rFont val="Calibri"/>
        <family val="2"/>
        <charset val="1"/>
      </rPr>
      <t xml:space="preserve"> </t>
    </r>
    <r>
      <rPr>
        <sz val="10"/>
        <color rgb="FF000000"/>
        <rFont val="Trebuchet MS"/>
        <family val="2"/>
      </rPr>
      <t>EasyVista, Proactiva, Solidus, ISL Online, Escritorio Remoto, VNC</t>
    </r>
  </si>
  <si>
    <t>Viasoft</t>
  </si>
  <si>
    <t>Tecnología de conectividad:   SAN </t>
  </si>
  <si>
    <r>
      <t>Protocolos:</t>
    </r>
    <r>
      <rPr>
        <sz val="10"/>
        <rFont val="Calibri"/>
        <family val="2"/>
        <charset val="1"/>
      </rPr>
      <t xml:space="preserve"> </t>
    </r>
    <r>
      <rPr>
        <sz val="10"/>
        <rFont val="Trebuchet MS"/>
        <family val="2"/>
      </rPr>
      <t>TCP/IP, LDAP, Directorio Activo </t>
    </r>
  </si>
  <si>
    <t>SDF II</t>
  </si>
  <si>
    <t>Plataformas Virtuales:   VMware, Red Hat Virtualization, oVirt-KVM, Citrix </t>
  </si>
  <si>
    <r>
      <t>Herramientas Desktop:</t>
    </r>
    <r>
      <rPr>
        <sz val="10"/>
        <rFont val="Calibri"/>
        <family val="2"/>
        <charset val="1"/>
      </rPr>
      <t xml:space="preserve"> </t>
    </r>
    <r>
      <rPr>
        <sz val="10"/>
        <rFont val="Trebuchet MS"/>
        <family val="2"/>
      </rPr>
      <t>Ofimática y paquetería en entorno Wintel </t>
    </r>
  </si>
  <si>
    <t>ISPF</t>
  </si>
  <si>
    <t>Servidor Web:   MS IIS, Apache, IHS, Nginx </t>
  </si>
  <si>
    <r>
      <t>Movilidad:</t>
    </r>
    <r>
      <rPr>
        <sz val="10"/>
        <rFont val="Calibri"/>
        <family val="2"/>
        <charset val="1"/>
      </rPr>
      <t xml:space="preserve"> </t>
    </r>
    <r>
      <rPr>
        <sz val="10"/>
        <rFont val="Trebuchet MS"/>
        <family val="2"/>
      </rPr>
      <t>Android, iOS </t>
    </r>
  </si>
  <si>
    <t>IBM, IIS, Apache</t>
  </si>
  <si>
    <t>Servidor de Aplicaciones:   Tomcat, WAS, Jboss, .NET </t>
  </si>
  <si>
    <r>
      <t>Seguridad:</t>
    </r>
    <r>
      <rPr>
        <sz val="10"/>
        <rFont val="Calibri"/>
        <family val="2"/>
        <charset val="1"/>
      </rPr>
      <t xml:space="preserve"> </t>
    </r>
    <r>
      <rPr>
        <sz val="10"/>
        <rFont val="Trebuchet MS"/>
        <family val="2"/>
      </rPr>
      <t>Antivirus Kaspersky, Antivirus Trendmicro, Encriptación </t>
    </r>
  </si>
  <si>
    <t>Websphere AS</t>
  </si>
  <si>
    <t>BD:   SQL Server, Oracle, DB2 z/os, DB2 UDB, MySQL, PostgreSQL, MongoDB, MariaDB </t>
  </si>
  <si>
    <r>
      <t>Gestión del Servicio: </t>
    </r>
    <r>
      <rPr>
        <sz val="10"/>
        <rFont val="Calibri"/>
        <family val="2"/>
        <charset val="1"/>
      </rPr>
      <t xml:space="preserve"> </t>
    </r>
    <r>
      <rPr>
        <sz val="10"/>
        <rFont val="Trebuchet MS"/>
        <family val="2"/>
      </rPr>
      <t>EasyVista </t>
    </r>
  </si>
  <si>
    <t xml:space="preserve">LIFERAY. </t>
  </si>
  <si>
    <t>Portales CMS:  Liferay </t>
  </si>
  <si>
    <t>Servicios VDI: Citrix, VMware  </t>
  </si>
  <si>
    <t>Eclipse</t>
  </si>
  <si>
    <t>Gestor de Logs: Elastic Search, vRealize Log Insight, Solr </t>
  </si>
  <si>
    <t>DB2, DB2 UDB, SQL Server, Informix, Oracle, MongoDB</t>
  </si>
  <si>
    <t>Indexadores:  Elastic Search, Solr </t>
  </si>
  <si>
    <t>Framework: MVC, Struts, SPRING, HDIV</t>
  </si>
  <si>
    <t>Java:  Java EE, SpringFramework, Struts, JMS </t>
  </si>
  <si>
    <t>Hortonworks, Hadoop, Hive, Spark, HDFS, Elasticsearch, Hbase, Neo4J</t>
  </si>
  <si>
    <t>Big Data</t>
  </si>
  <si>
    <t>Scripting:  SQL, Bash, Python, Powershell, PHP </t>
  </si>
  <si>
    <t>Jenkins</t>
  </si>
  <si>
    <t>Mensajería:  Exchange, Office365 </t>
  </si>
  <si>
    <t>DYNATRACE</t>
  </si>
  <si>
    <t>Middleware: ActiveMQ, RabbitMQ, Jenkins </t>
  </si>
  <si>
    <t>SonarQube</t>
  </si>
  <si>
    <t>Monitorización:  Dynatrace, Omegamon, VMware vROPs, Grafana, Sexygraf, Nagios, Icinga </t>
  </si>
  <si>
    <t>Testing: Jmeter, Junit</t>
  </si>
  <si>
    <t>Webhosting:   Plesk Panel </t>
  </si>
  <si>
    <t>Contenedores: Red Hat Openshift, Docker, Kubernetes</t>
  </si>
  <si>
    <t>Servicios de autenticación/autorización:  Ms AD, ApacheDS, Novell eDirectory, CAS, OpenID, OAuth, One Identity </t>
  </si>
  <si>
    <t>GitLab, Subversion</t>
  </si>
  <si>
    <t>Filenet</t>
  </si>
  <si>
    <t>Private Cloud:  VMware vRealize Suite </t>
  </si>
  <si>
    <t>Herramientas B.I.: Cognos, Tableau</t>
  </si>
  <si>
    <t>Public Cloud:  Azure, AWS, IBM Cloud </t>
  </si>
  <si>
    <t>GIS: Genamap, Mapguide, Qgis</t>
  </si>
  <si>
    <t>DevOPs:  Ansible, Powershell, VMware Orchestrator, VMware Automation, Jenkins Pipeline </t>
  </si>
  <si>
    <t>CKAN</t>
  </si>
  <si>
    <t>Herramientas de testing:  Selenium, ReadyAPI/SoapUI, JUnit, PHPUnit, SonarQube, Microsoft Test Manager </t>
  </si>
  <si>
    <t>Java, Java Script, MVC, Struts, SPRING, HDIV, Eclipse, Websphere</t>
  </si>
  <si>
    <t>Despliegues:  Apache Maven, Jetty, XLDeploy </t>
  </si>
  <si>
    <t>CICS, COBOL, JCL, TSO, SDF II y Viasoft</t>
  </si>
  <si>
    <t>Repositorio:  Git, Subversion, JFrog Artifactory </t>
  </si>
  <si>
    <t>Big Data:  HortonWorks </t>
  </si>
  <si>
    <t>Protocolos:  TCP/IP, LDAP, Directorio Activo  </t>
  </si>
  <si>
    <t> </t>
  </si>
  <si>
    <t>Nombre y apellidos</t>
  </si>
  <si>
    <t>Peso perfil</t>
  </si>
  <si>
    <t>Dedicación (%)</t>
  </si>
  <si>
    <t>Conocimientos en entornos tecnológicos</t>
  </si>
  <si>
    <t>Areas funcionales</t>
  </si>
  <si>
    <t>FAC *</t>
  </si>
  <si>
    <t>Puntuación final</t>
  </si>
  <si>
    <t>Formación académica</t>
  </si>
  <si>
    <t>Formación habilidades</t>
  </si>
  <si>
    <t>Euskarako ziurtagiriak</t>
  </si>
  <si>
    <t>Otras certificaciones</t>
  </si>
  <si>
    <t>Años en área funcional</t>
  </si>
  <si>
    <t>Nº de Proyectos</t>
  </si>
  <si>
    <t>Nº de años en los proyectos</t>
  </si>
  <si>
    <t>X</t>
  </si>
  <si>
    <t>Importe oferta (€)</t>
  </si>
  <si>
    <t>€ (sin iva)</t>
  </si>
  <si>
    <t>Precio/Hora</t>
  </si>
  <si>
    <t>Importe (sin IVA)</t>
  </si>
  <si>
    <t>Requisitos mínimos o máximos de perfiles con conocimientos específicos si se considera necesario:</t>
  </si>
  <si>
    <t>Formación Académica</t>
  </si>
  <si>
    <t>Puntuación</t>
  </si>
  <si>
    <t>Categoría (perfilesX)</t>
  </si>
  <si>
    <t>Tit. Sup. Univ. + Complementos</t>
  </si>
  <si>
    <t>Tit. Sup. Universitaria</t>
  </si>
  <si>
    <t>Tit. Media Universitaria</t>
  </si>
  <si>
    <t>Formación Profesional</t>
  </si>
  <si>
    <t>Otras formaciones</t>
  </si>
  <si>
    <t>Formación en habilidades de gestión de equipos, de proyectos, del tiempo o equivalente.</t>
  </si>
  <si>
    <t>3 cursos o más</t>
  </si>
  <si>
    <t>2 cursos</t>
  </si>
  <si>
    <t>1 curso</t>
  </si>
  <si>
    <t>No aporta</t>
  </si>
  <si>
    <t>Ponderación medios humanos (lotesX)</t>
  </si>
  <si>
    <t>Euskera</t>
  </si>
  <si>
    <t>C1/Homologable o superior</t>
  </si>
  <si>
    <t>Exento s/Decreto 47/2012</t>
  </si>
  <si>
    <t>B2</t>
  </si>
  <si>
    <t>Sin certificación</t>
  </si>
  <si>
    <t>lote</t>
  </si>
  <si>
    <t>tipo</t>
  </si>
  <si>
    <t>Perfil y titulación</t>
  </si>
  <si>
    <t>Otras certificaciones (adicionales a la requerida en el apartado 15)</t>
  </si>
  <si>
    <t>2 Certificaciones o más</t>
  </si>
  <si>
    <t>1 Certificación</t>
  </si>
  <si>
    <t>Sin otra certificación</t>
  </si>
  <si>
    <t>Nº de años en áreas funcionales</t>
  </si>
  <si>
    <t>&gt; 10 años</t>
  </si>
  <si>
    <t>&gt; de 5 y &lt;= a 10 años</t>
  </si>
  <si>
    <t>&gt; de 3 y &lt;= a 5 años</t>
  </si>
  <si>
    <t>&lt;= de 3 años</t>
  </si>
  <si>
    <t>Sin años de experiencia</t>
  </si>
  <si>
    <t xml:space="preserve">Nº de años en áreas funcionales </t>
  </si>
  <si>
    <t>Nº de proyectos en tecnología</t>
  </si>
  <si>
    <t>&gt; 10 proyectos</t>
  </si>
  <si>
    <t>Entre 5 y 10 proyectos</t>
  </si>
  <si>
    <t>3 ó 4 proyectos</t>
  </si>
  <si>
    <t>1 ó 2 proyectos</t>
  </si>
  <si>
    <t>Sin proyectos</t>
  </si>
  <si>
    <t xml:space="preserve">Nº de años en esos proyectos </t>
  </si>
  <si>
    <t/>
  </si>
  <si>
    <t>UTE_TEKNEI</t>
  </si>
  <si>
    <t>TEKNEI INFORMATION TECHNOLOGY S.L.U</t>
  </si>
  <si>
    <t>TEKNEI_IT</t>
  </si>
  <si>
    <t>TEKNEI INFORMATION TECHNOLOGY S.L.</t>
  </si>
  <si>
    <t>2023KOER0030</t>
  </si>
  <si>
    <t>1 TDB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</si>
</sst>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 &quot;€&quot;"/>
  </numFmts>
  <fonts count="30" x14ac:knownFonts="1">
    <font>
      <sz val="11"/>
      <color theme="1"/>
      <name val="Calibri"/>
      <family val="2"/>
      <scheme val="minor"/>
    </font>
    <font>
      <b/>
      <sz val="11"/>
      <color theme="1"/>
      <name val="Calibri"/>
      <family val="2"/>
      <scheme val="minor"/>
    </font>
    <font>
      <b/>
      <sz val="10"/>
      <color theme="1"/>
      <name val="Trebuchet MS"/>
      <family val="2"/>
    </font>
    <font>
      <sz val="8"/>
      <name val="Trebuchet MS"/>
      <family val="2"/>
    </font>
    <font>
      <b/>
      <sz val="10"/>
      <name val="Trebuchet MS"/>
      <family val="2"/>
    </font>
    <font>
      <sz val="9"/>
      <color theme="1"/>
      <name val="Trebuchet MS"/>
      <family val="2"/>
    </font>
    <font>
      <b/>
      <sz val="11"/>
      <color theme="0"/>
      <name val="Calibri"/>
      <family val="2"/>
      <scheme val="minor"/>
    </font>
    <font>
      <sz val="11"/>
      <color rgb="FFFF0000"/>
      <name val="Calibri"/>
      <family val="2"/>
      <scheme val="minor"/>
    </font>
    <font>
      <sz val="8"/>
      <name val="Calibri"/>
      <family val="2"/>
      <scheme val="minor"/>
    </font>
    <font>
      <sz val="11"/>
      <color rgb="FFC00000"/>
      <name val="Calibri"/>
      <family val="2"/>
      <scheme val="minor"/>
    </font>
    <font>
      <sz val="11"/>
      <color rgb="FF002060"/>
      <name val="Calibri"/>
      <family val="2"/>
      <scheme val="minor"/>
    </font>
    <font>
      <sz val="11"/>
      <color theme="3" tint="0.59999389629810485"/>
      <name val="Calibri"/>
      <family val="2"/>
      <scheme val="minor"/>
    </font>
    <font>
      <sz val="10"/>
      <name val="Trebuchet MS"/>
      <family val="2"/>
    </font>
    <font>
      <sz val="10"/>
      <name val="Calibri"/>
      <family val="2"/>
      <charset val="1"/>
    </font>
    <font>
      <sz val="10"/>
      <color rgb="FF000000"/>
      <name val="Calibri"/>
      <family val="2"/>
      <charset val="1"/>
    </font>
    <font>
      <sz val="10"/>
      <color rgb="FF000000"/>
      <name val="Trebuchet MS"/>
      <family val="2"/>
    </font>
    <font>
      <b/>
      <i/>
      <sz val="11"/>
      <color theme="1"/>
      <name val="Calibri"/>
      <family val="2"/>
      <scheme val="minor"/>
    </font>
    <font>
      <sz val="11"/>
      <color theme="0"/>
      <name val="Calibri"/>
      <family val="2"/>
      <scheme val="minor"/>
    </font>
    <font>
      <sz val="11"/>
      <color theme="1"/>
      <name val="Calibri"/>
      <family val="2"/>
      <scheme val="minor"/>
    </font>
    <font>
      <sz val="11"/>
      <name val="Calibri"/>
      <family val="2"/>
      <scheme val="minor"/>
    </font>
    <font>
      <b/>
      <sz val="11"/>
      <color theme="4" tint="-0.499984740745262"/>
      <name val="Calibri"/>
      <family val="2"/>
      <scheme val="minor"/>
    </font>
    <font>
      <sz val="11"/>
      <color theme="4" tint="-0.499984740745262"/>
      <name val="Calibri"/>
      <family val="2"/>
      <scheme val="minor"/>
    </font>
    <font>
      <i/>
      <sz val="11"/>
      <color theme="1"/>
      <name val="Calibri"/>
      <family val="2"/>
      <scheme val="minor"/>
    </font>
    <font>
      <b/>
      <sz val="11"/>
      <color rgb="FFFFFFFF"/>
      <name val="Calibri"/>
      <family val="2"/>
      <scheme val="minor"/>
    </font>
    <font>
      <b/>
      <sz val="11"/>
      <name val="Calibri"/>
      <family val="2"/>
      <scheme val="minor"/>
    </font>
    <font>
      <sz val="11"/>
      <color theme="0" tint="-0.499984740745262"/>
      <name val="Calibri"/>
      <family val="2"/>
      <scheme val="minor"/>
    </font>
    <font>
      <sz val="11"/>
      <color rgb="FF000000"/>
      <name val="Calibri"/>
      <family val="2"/>
      <scheme val="minor"/>
    </font>
    <font>
      <sz val="9"/>
      <name val="Trebuchet MS"/>
      <family val="2"/>
    </font>
    <font>
      <sz val="10"/>
      <color theme="1"/>
      <name val="Calibri"/>
      <family val="2"/>
      <scheme val="minor"/>
    </font>
    <font>
      <b/>
      <sz val="9"/>
      <color rgb="FFFF0000"/>
      <name val="Trebuchet MS"/>
      <family val="2"/>
    </font>
  </fonts>
  <fills count="22">
    <fill>
      <patternFill patternType="none"/>
    </fill>
    <fill>
      <patternFill patternType="gray125"/>
    </fill>
    <fill>
      <patternFill patternType="solid">
        <fgColor theme="9" tint="0.79998168889431442"/>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theme="8"/>
        <bgColor theme="8"/>
      </patternFill>
    </fill>
    <fill>
      <patternFill patternType="solid">
        <fgColor theme="8" tint="0.79998168889431442"/>
        <bgColor theme="8" tint="0.79998168889431442"/>
      </patternFill>
    </fill>
    <fill>
      <patternFill patternType="solid">
        <fgColor theme="0"/>
        <bgColor indexed="64"/>
      </patternFill>
    </fill>
    <fill>
      <patternFill patternType="solid">
        <fgColor theme="4" tint="-0.249977111117893"/>
        <bgColor theme="8"/>
      </patternFill>
    </fill>
    <fill>
      <patternFill patternType="solid">
        <fgColor theme="0" tint="-0.14999847407452621"/>
        <bgColor theme="8" tint="0.79998168889431442"/>
      </patternFill>
    </fill>
    <fill>
      <patternFill patternType="solid">
        <fgColor theme="7"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rgb="FF5B9BD5"/>
        <bgColor rgb="FF5B9BD5"/>
      </patternFill>
    </fill>
    <fill>
      <patternFill patternType="solid">
        <fgColor theme="0"/>
        <bgColor theme="8" tint="0.79998168889431442"/>
      </patternFill>
    </fill>
    <fill>
      <patternFill patternType="solid">
        <fgColor theme="8" tint="0.79998168889431442"/>
        <bgColor indexed="64"/>
      </patternFill>
    </fill>
    <fill>
      <patternFill patternType="solid">
        <fgColor theme="0"/>
        <bgColor theme="8"/>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4.9989318521683403E-2"/>
        <bgColor indexed="64"/>
      </patternFill>
    </fill>
  </fills>
  <borders count="90">
    <border>
      <left/>
      <right/>
      <top/>
      <bottom/>
      <diagonal/>
    </border>
    <border>
      <left style="thin">
        <color theme="8" tint="0.39994506668294322"/>
      </left>
      <right style="thin">
        <color theme="8" tint="0.39994506668294322"/>
      </right>
      <top style="thin">
        <color theme="8" tint="0.39994506668294322"/>
      </top>
      <bottom style="thin">
        <color theme="8" tint="0.39994506668294322"/>
      </bottom>
      <diagonal/>
    </border>
    <border>
      <left style="thin">
        <color theme="8" tint="0.39994506668294322"/>
      </left>
      <right style="thin">
        <color theme="8" tint="0.39994506668294322"/>
      </right>
      <top style="thin">
        <color theme="8" tint="0.39994506668294322"/>
      </top>
      <bottom style="thin">
        <color theme="8" tint="0.39997558519241921"/>
      </bottom>
      <diagonal/>
    </border>
    <border>
      <left style="thin">
        <color theme="8" tint="0.39994506668294322"/>
      </left>
      <right/>
      <top style="thin">
        <color theme="8" tint="0.39997558519241921"/>
      </top>
      <bottom style="thin">
        <color theme="8" tint="0.39994506668294322"/>
      </bottom>
      <diagonal/>
    </border>
    <border>
      <left/>
      <right/>
      <top style="thin">
        <color theme="8" tint="0.39997558519241921"/>
      </top>
      <bottom style="thin">
        <color theme="8" tint="0.39994506668294322"/>
      </bottom>
      <diagonal/>
    </border>
    <border>
      <left/>
      <right style="thin">
        <color theme="8" tint="0.39994506668294322"/>
      </right>
      <top style="thin">
        <color theme="8" tint="0.39997558519241921"/>
      </top>
      <bottom style="thin">
        <color theme="8" tint="0.39994506668294322"/>
      </bottom>
      <diagonal/>
    </border>
    <border>
      <left style="thin">
        <color rgb="FF9BC2E6"/>
      </left>
      <right/>
      <top style="thin">
        <color rgb="FF9BC2E6"/>
      </top>
      <bottom style="thin">
        <color rgb="FF9BC2E6"/>
      </bottom>
      <diagonal/>
    </border>
    <border>
      <left/>
      <right style="thin">
        <color rgb="FF9BC2E6"/>
      </right>
      <top style="thin">
        <color rgb="FF9BC2E6"/>
      </top>
      <bottom style="thin">
        <color rgb="FF9BC2E6"/>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diagonal/>
    </border>
    <border>
      <left/>
      <right style="medium">
        <color theme="4" tint="-0.499984740745262"/>
      </right>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style="thin">
        <color theme="8" tint="0.39994506668294322"/>
      </right>
      <top/>
      <bottom/>
      <diagonal/>
    </border>
    <border>
      <left style="thin">
        <color theme="8" tint="0.39994506668294322"/>
      </left>
      <right/>
      <top style="thin">
        <color theme="8" tint="0.39994506668294322"/>
      </top>
      <bottom style="thin">
        <color theme="8" tint="0.39994506668294322"/>
      </bottom>
      <diagonal/>
    </border>
    <border>
      <left/>
      <right style="thin">
        <color theme="8" tint="0.39994506668294322"/>
      </right>
      <top style="thin">
        <color theme="8" tint="0.39994506668294322"/>
      </top>
      <bottom style="thin">
        <color theme="8" tint="0.39994506668294322"/>
      </bottom>
      <diagonal/>
    </border>
    <border>
      <left style="thin">
        <color theme="8" tint="0.39994506668294322"/>
      </left>
      <right style="thin">
        <color theme="8" tint="0.39994506668294322"/>
      </right>
      <top style="thin">
        <color theme="8" tint="0.39994506668294322"/>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8" tint="0.39994506668294322"/>
      </left>
      <right style="thin">
        <color theme="8" tint="0.39994506668294322"/>
      </right>
      <top/>
      <bottom/>
      <diagonal/>
    </border>
    <border>
      <left style="thin">
        <color rgb="FF9BC2E6"/>
      </left>
      <right/>
      <top/>
      <bottom/>
      <diagonal/>
    </border>
    <border>
      <left style="thin">
        <color theme="8" tint="0.39994506668294322"/>
      </left>
      <right/>
      <top/>
      <bottom/>
      <diagonal/>
    </border>
    <border>
      <left style="thin">
        <color theme="8" tint="0.39994506668294322"/>
      </left>
      <right/>
      <top/>
      <bottom style="thin">
        <color theme="8" tint="0.39994506668294322"/>
      </bottom>
      <diagonal/>
    </border>
    <border>
      <left/>
      <right/>
      <top/>
      <bottom style="thin">
        <color theme="8" tint="0.39994506668294322"/>
      </bottom>
      <diagonal/>
    </border>
    <border>
      <left/>
      <right/>
      <top/>
      <bottom style="thin">
        <color theme="8" tint="0.39997558519241921"/>
      </bottom>
      <diagonal/>
    </border>
    <border>
      <left style="thin">
        <color theme="8" tint="0.39994506668294322"/>
      </left>
      <right/>
      <top style="thin">
        <color theme="8" tint="0.39997558519241921"/>
      </top>
      <bottom/>
      <diagonal/>
    </border>
    <border>
      <left/>
      <right style="thin">
        <color theme="8" tint="0.39994506668294322"/>
      </right>
      <top style="thin">
        <color theme="8" tint="0.39997558519241921"/>
      </top>
      <bottom/>
      <diagonal/>
    </border>
    <border>
      <left style="thin">
        <color theme="8" tint="0.39994506668294322"/>
      </left>
      <right/>
      <top/>
      <bottom style="thin">
        <color theme="8" tint="0.39997558519241921"/>
      </bottom>
      <diagonal/>
    </border>
    <border>
      <left/>
      <right style="thin">
        <color theme="8" tint="0.39994506668294322"/>
      </right>
      <top/>
      <bottom style="thin">
        <color theme="8" tint="0.39994506668294322"/>
      </bottom>
      <diagonal/>
    </border>
    <border>
      <left style="thin">
        <color theme="8" tint="0.39994506668294322"/>
      </left>
      <right style="thin">
        <color theme="8" tint="0.39994506668294322"/>
      </right>
      <top/>
      <bottom style="thin">
        <color theme="8" tint="0.39994506668294322"/>
      </bottom>
      <diagonal/>
    </border>
    <border>
      <left style="thin">
        <color theme="8" tint="0.59996337778862885"/>
      </left>
      <right style="thin">
        <color theme="8" tint="0.59996337778862885"/>
      </right>
      <top style="thin">
        <color theme="8" tint="0.59996337778862885"/>
      </top>
      <bottom style="thin">
        <color theme="8" tint="0.59996337778862885"/>
      </bottom>
      <diagonal/>
    </border>
    <border>
      <left style="thin">
        <color theme="8" tint="0.39994506668294322"/>
      </left>
      <right/>
      <top style="thin">
        <color theme="8" tint="0.39991454817346722"/>
      </top>
      <bottom style="thin">
        <color theme="8" tint="0.39991454817346722"/>
      </bottom>
      <diagonal/>
    </border>
    <border>
      <left/>
      <right style="thin">
        <color theme="8" tint="0.39991454817346722"/>
      </right>
      <top style="thin">
        <color theme="8" tint="0.39991454817346722"/>
      </top>
      <bottom style="thin">
        <color theme="8" tint="0.39991454817346722"/>
      </bottom>
      <diagonal/>
    </border>
    <border>
      <left style="thin">
        <color rgb="FF9BC2E6"/>
      </left>
      <right style="thin">
        <color rgb="FF9BC2E6"/>
      </right>
      <top style="thin">
        <color theme="8" tint="0.39994506668294322"/>
      </top>
      <bottom style="thin">
        <color theme="8" tint="0.39994506668294322"/>
      </bottom>
      <diagonal/>
    </border>
    <border>
      <left/>
      <right style="thin">
        <color theme="0"/>
      </right>
      <top style="thin">
        <color theme="0"/>
      </top>
      <bottom style="thin">
        <color theme="0"/>
      </bottom>
      <diagonal/>
    </border>
    <border>
      <left style="thin">
        <color theme="8" tint="0.39994506668294322"/>
      </left>
      <right/>
      <top style="thin">
        <color theme="8" tint="0.39997558519241921"/>
      </top>
      <bottom style="thin">
        <color theme="8" tint="0.39997558519241921"/>
      </bottom>
      <diagonal/>
    </border>
    <border>
      <left style="thin">
        <color theme="8" tint="0.39994506668294322"/>
      </left>
      <right/>
      <top style="thin">
        <color theme="8" tint="0.39994506668294322"/>
      </top>
      <bottom/>
      <diagonal/>
    </border>
    <border>
      <left/>
      <right/>
      <top style="thin">
        <color theme="8" tint="0.39994506668294322"/>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thin">
        <color theme="8" tint="0.39994506668294322"/>
      </left>
      <right style="thin">
        <color theme="8" tint="0.39991454817346722"/>
      </right>
      <top style="thin">
        <color theme="8" tint="0.39994506668294322"/>
      </top>
      <bottom style="thin">
        <color theme="8" tint="0.39994506668294322"/>
      </bottom>
      <diagonal/>
    </border>
    <border>
      <left style="thin">
        <color theme="8" tint="0.39991454817346722"/>
      </left>
      <right style="thin">
        <color theme="8" tint="0.39994506668294322"/>
      </right>
      <top style="thin">
        <color theme="8" tint="0.39994506668294322"/>
      </top>
      <bottom style="thin">
        <color theme="8" tint="0.39994506668294322"/>
      </bottom>
      <diagonal/>
    </border>
    <border>
      <left/>
      <right style="thin">
        <color theme="0"/>
      </right>
      <top style="thin">
        <color theme="0"/>
      </top>
      <bottom/>
      <diagonal/>
    </border>
    <border>
      <left style="thin">
        <color rgb="FF000000"/>
      </left>
      <right style="thin">
        <color theme="0" tint="-0.34998626667073579"/>
      </right>
      <top style="thin">
        <color theme="0" tint="-0.34998626667073579"/>
      </top>
      <bottom style="thin">
        <color theme="0" tint="-0.34998626667073579"/>
      </bottom>
      <diagonal/>
    </border>
    <border>
      <left style="thin">
        <color theme="0" tint="-0.34998626667073579"/>
      </left>
      <right style="thin">
        <color rgb="FF000000"/>
      </right>
      <top style="thin">
        <color theme="0" tint="-0.34998626667073579"/>
      </top>
      <bottom style="thin">
        <color theme="0" tint="-0.34998626667073579"/>
      </bottom>
      <diagonal/>
    </border>
    <border>
      <left/>
      <right style="thin">
        <color theme="8" tint="0.39991454817346722"/>
      </right>
      <top style="thin">
        <color theme="8" tint="0.39994506668294322"/>
      </top>
      <bottom/>
      <diagonal/>
    </border>
    <border>
      <left/>
      <right style="thin">
        <color theme="8" tint="0.39991454817346722"/>
      </right>
      <top/>
      <bottom/>
      <diagonal/>
    </border>
    <border>
      <left/>
      <right style="thin">
        <color theme="8" tint="0.39991454817346722"/>
      </right>
      <top/>
      <bottom style="thin">
        <color theme="8" tint="0.39994506668294322"/>
      </bottom>
      <diagonal/>
    </border>
    <border>
      <left/>
      <right style="thin">
        <color theme="8" tint="0.39994506668294322"/>
      </right>
      <top style="thin">
        <color theme="8" tint="0.39997558519241921"/>
      </top>
      <bottom style="thin">
        <color theme="8" tint="0.39997558519241921"/>
      </bottom>
      <diagonal/>
    </border>
    <border>
      <left/>
      <right/>
      <top style="thin">
        <color theme="8" tint="0.39991454817346722"/>
      </top>
      <bottom style="thin">
        <color theme="8" tint="0.39991454817346722"/>
      </bottom>
      <diagonal/>
    </border>
    <border>
      <left style="thin">
        <color indexed="64"/>
      </left>
      <right style="thin">
        <color indexed="64"/>
      </right>
      <top style="thin">
        <color indexed="64"/>
      </top>
      <bottom style="thin">
        <color indexed="64"/>
      </bottom>
      <diagonal/>
    </border>
    <border>
      <left/>
      <right style="thin">
        <color rgb="FF9BC2E6"/>
      </right>
      <top style="thin">
        <color rgb="FF9BC2E6"/>
      </top>
      <bottom/>
      <diagonal/>
    </border>
    <border>
      <left/>
      <right/>
      <top style="thin">
        <color theme="8" tint="0.39994506668294322"/>
      </top>
      <bottom style="thin">
        <color rgb="FF9BC2E6"/>
      </bottom>
      <diagonal/>
    </border>
    <border>
      <left/>
      <right style="thin">
        <color theme="8" tint="0.39994506668294322"/>
      </right>
      <top style="thin">
        <color theme="8" tint="0.39994506668294322"/>
      </top>
      <bottom style="thin">
        <color rgb="FF9BC2E6"/>
      </bottom>
      <diagonal/>
    </border>
    <border>
      <left/>
      <right style="thin">
        <color rgb="FF9BC2E6"/>
      </right>
      <top style="thin">
        <color theme="8" tint="0.39994506668294322"/>
      </top>
      <bottom style="thin">
        <color rgb="FF9BC2E6"/>
      </bottom>
      <diagonal/>
    </border>
    <border>
      <left/>
      <right/>
      <top style="thin">
        <color rgb="FF9BC2E6"/>
      </top>
      <bottom style="thin">
        <color rgb="FF9BC2E6"/>
      </bottom>
      <diagonal/>
    </border>
    <border>
      <left style="thin">
        <color theme="8" tint="0.39994506668294322"/>
      </left>
      <right style="thin">
        <color theme="4"/>
      </right>
      <top style="thin">
        <color theme="8" tint="0.39997558519241921"/>
      </top>
      <bottom style="thin">
        <color theme="8" tint="0.39994506668294322"/>
      </bottom>
      <diagonal/>
    </border>
    <border>
      <left style="thin">
        <color theme="8" tint="0.39991454817346722"/>
      </left>
      <right style="thin">
        <color theme="8" tint="0.39991454817346722"/>
      </right>
      <top style="thin">
        <color theme="8" tint="0.39991454817346722"/>
      </top>
      <bottom/>
      <diagonal/>
    </border>
    <border>
      <left style="thin">
        <color theme="8" tint="0.39991454817346722"/>
      </left>
      <right style="thin">
        <color theme="8" tint="0.39994506668294322"/>
      </right>
      <top style="thin">
        <color theme="8" tint="0.39991454817346722"/>
      </top>
      <bottom/>
      <diagonal/>
    </border>
    <border>
      <left style="thin">
        <color theme="8" tint="0.39991454817346722"/>
      </left>
      <right style="thin">
        <color theme="8" tint="0.39991454817346722"/>
      </right>
      <top/>
      <bottom/>
      <diagonal/>
    </border>
    <border>
      <left style="thin">
        <color theme="8" tint="0.39991454817346722"/>
      </left>
      <right style="thin">
        <color theme="8" tint="0.39994506668294322"/>
      </right>
      <top/>
      <bottom/>
      <diagonal/>
    </border>
    <border>
      <left style="thin">
        <color theme="8" tint="0.39991454817346722"/>
      </left>
      <right style="thin">
        <color theme="8" tint="0.39991454817346722"/>
      </right>
      <top/>
      <bottom style="thin">
        <color theme="8" tint="0.39994506668294322"/>
      </bottom>
      <diagonal/>
    </border>
    <border>
      <left style="thin">
        <color theme="8" tint="0.39991454817346722"/>
      </left>
      <right style="thin">
        <color theme="8" tint="0.39994506668294322"/>
      </right>
      <top/>
      <bottom style="thin">
        <color theme="8" tint="0.39994506668294322"/>
      </bottom>
      <diagonal/>
    </border>
    <border>
      <left style="thin">
        <color theme="8" tint="0.39994506668294322"/>
      </left>
      <right/>
      <top style="thin">
        <color theme="8" tint="0.39994506668294322"/>
      </top>
      <bottom style="thin">
        <color theme="8" tint="0.39991454817346722"/>
      </bottom>
      <diagonal/>
    </border>
    <border>
      <left/>
      <right/>
      <top style="thin">
        <color theme="8" tint="0.39994506668294322"/>
      </top>
      <bottom style="thin">
        <color theme="8" tint="0.39991454817346722"/>
      </bottom>
      <diagonal/>
    </border>
    <border>
      <left/>
      <right style="thin">
        <color theme="8" tint="0.39991454817346722"/>
      </right>
      <top style="thin">
        <color theme="8" tint="0.39994506668294322"/>
      </top>
      <bottom style="thin">
        <color theme="8" tint="0.39991454817346722"/>
      </bottom>
      <diagonal/>
    </border>
    <border>
      <left/>
      <right/>
      <top style="thin">
        <color theme="8" tint="0.39997558519241921"/>
      </top>
      <bottom/>
      <diagonal/>
    </border>
    <border>
      <left/>
      <right/>
      <top style="thin">
        <color theme="8" tint="0.39994506668294322"/>
      </top>
      <bottom style="thin">
        <color theme="8" tint="0.39994506668294322"/>
      </bottom>
      <diagonal/>
    </border>
    <border>
      <left style="thin">
        <color theme="8" tint="0.39994506668294322"/>
      </left>
      <right/>
      <top style="thin">
        <color theme="8" tint="0.39997558519241921"/>
      </top>
      <bottom style="thin">
        <color rgb="FF9BC2E6"/>
      </bottom>
      <diagonal/>
    </border>
    <border>
      <left/>
      <right style="thin">
        <color theme="8" tint="0.39994506668294322"/>
      </right>
      <top style="thin">
        <color theme="8" tint="0.39997558519241921"/>
      </top>
      <bottom style="thin">
        <color rgb="FF9BC2E6"/>
      </bottom>
      <diagonal/>
    </border>
    <border>
      <left style="thin">
        <color theme="8" tint="0.39994506668294322"/>
      </left>
      <right/>
      <top style="thin">
        <color theme="8" tint="0.39994506668294322"/>
      </top>
      <bottom style="thin">
        <color theme="8" tint="0.39997558519241921"/>
      </bottom>
      <diagonal/>
    </border>
    <border>
      <left/>
      <right style="thin">
        <color theme="8" tint="0.39994506668294322"/>
      </right>
      <top style="thin">
        <color theme="8" tint="0.39994506668294322"/>
      </top>
      <bottom style="thin">
        <color theme="8" tint="0.39997558519241921"/>
      </bottom>
      <diagonal/>
    </border>
  </borders>
  <cellStyleXfs count="2">
    <xf numFmtId="0" fontId="0" fillId="0" borderId="0"/>
    <xf numFmtId="9" fontId="18" fillId="0" borderId="0" applyFont="0" applyFill="0" applyBorder="0" applyAlignment="0" applyProtection="0"/>
  </cellStyleXfs>
  <cellXfs count="293">
    <xf numFmtId="0" fontId="0" fillId="0" borderId="0" xfId="0"/>
    <xf numFmtId="0" fontId="2" fillId="0" borderId="0" xfId="0" applyFont="1" applyAlignment="1">
      <alignment horizontal="left" vertical="center"/>
    </xf>
    <xf numFmtId="0" fontId="6" fillId="5" borderId="3" xfId="0" applyFont="1" applyFill="1" applyBorder="1"/>
    <xf numFmtId="0" fontId="6" fillId="8" borderId="3" xfId="0" applyFont="1" applyFill="1" applyBorder="1" applyAlignment="1">
      <alignment horizontal="center" vertical="center" wrapText="1"/>
    </xf>
    <xf numFmtId="4" fontId="6" fillId="8" borderId="3" xfId="0" applyNumberFormat="1" applyFont="1" applyFill="1" applyBorder="1" applyAlignment="1">
      <alignment horizontal="center" vertical="center" wrapText="1"/>
    </xf>
    <xf numFmtId="4" fontId="0" fillId="0" borderId="1" xfId="0" applyNumberFormat="1" applyBorder="1"/>
    <xf numFmtId="0" fontId="10" fillId="0" borderId="2" xfId="0" applyFont="1" applyBorder="1"/>
    <xf numFmtId="0" fontId="4" fillId="0" borderId="0" xfId="0" applyFont="1" applyAlignment="1">
      <alignment horizontal="left" vertical="center"/>
    </xf>
    <xf numFmtId="0" fontId="4" fillId="0" borderId="0" xfId="0" applyFont="1" applyAlignment="1">
      <alignment horizontal="center" vertical="center"/>
    </xf>
    <xf numFmtId="0" fontId="3" fillId="0" borderId="0" xfId="0" applyFont="1"/>
    <xf numFmtId="0" fontId="0" fillId="0" borderId="0" xfId="0" applyAlignment="1">
      <alignment horizontal="left"/>
    </xf>
    <xf numFmtId="4" fontId="0" fillId="0" borderId="19" xfId="0" applyNumberFormat="1" applyBorder="1"/>
    <xf numFmtId="4" fontId="11" fillId="0" borderId="1" xfId="0" applyNumberFormat="1" applyFont="1" applyBorder="1"/>
    <xf numFmtId="4" fontId="0" fillId="0" borderId="0" xfId="0" applyNumberFormat="1"/>
    <xf numFmtId="0" fontId="12" fillId="0" borderId="0" xfId="0" applyFont="1" applyAlignment="1">
      <alignment wrapText="1"/>
    </xf>
    <xf numFmtId="0" fontId="6" fillId="5" borderId="3" xfId="0" applyFont="1" applyFill="1" applyBorder="1" applyAlignment="1">
      <alignment horizontal="left"/>
    </xf>
    <xf numFmtId="0" fontId="0" fillId="0" borderId="20" xfId="0" applyBorder="1"/>
    <xf numFmtId="0" fontId="0" fillId="0" borderId="20" xfId="0" applyBorder="1" applyAlignment="1">
      <alignment wrapText="1" shrinkToFit="1"/>
    </xf>
    <xf numFmtId="0" fontId="0" fillId="0" borderId="21" xfId="0" applyBorder="1"/>
    <xf numFmtId="0" fontId="0" fillId="0" borderId="22" xfId="0" applyBorder="1"/>
    <xf numFmtId="0" fontId="0" fillId="0" borderId="23" xfId="0" applyBorder="1"/>
    <xf numFmtId="0" fontId="6" fillId="5" borderId="3" xfId="0" applyFont="1" applyFill="1" applyBorder="1" applyAlignment="1">
      <alignment horizontal="center"/>
    </xf>
    <xf numFmtId="4" fontId="0" fillId="0" borderId="24" xfId="0" applyNumberFormat="1" applyBorder="1"/>
    <xf numFmtId="1" fontId="0" fillId="0" borderId="1" xfId="0" applyNumberFormat="1" applyBorder="1"/>
    <xf numFmtId="1" fontId="0" fillId="0" borderId="19" xfId="0" applyNumberFormat="1" applyBorder="1"/>
    <xf numFmtId="1" fontId="11" fillId="0" borderId="1" xfId="0" applyNumberFormat="1" applyFont="1" applyBorder="1"/>
    <xf numFmtId="1" fontId="0" fillId="0" borderId="0" xfId="0" applyNumberFormat="1"/>
    <xf numFmtId="0" fontId="5" fillId="0" borderId="0" xfId="0" applyFont="1"/>
    <xf numFmtId="10" fontId="0" fillId="0" borderId="1" xfId="0" applyNumberFormat="1" applyBorder="1"/>
    <xf numFmtId="4" fontId="11" fillId="0" borderId="1" xfId="0" applyNumberFormat="1" applyFont="1" applyBorder="1" applyAlignment="1">
      <alignment horizontal="right"/>
    </xf>
    <xf numFmtId="0" fontId="20" fillId="4" borderId="6" xfId="0" applyFont="1" applyFill="1" applyBorder="1"/>
    <xf numFmtId="0" fontId="20" fillId="4" borderId="7" xfId="0" applyFont="1" applyFill="1" applyBorder="1"/>
    <xf numFmtId="4" fontId="21" fillId="4" borderId="1" xfId="0" applyNumberFormat="1" applyFont="1" applyFill="1" applyBorder="1"/>
    <xf numFmtId="0" fontId="20" fillId="10" borderId="6" xfId="0" applyFont="1" applyFill="1" applyBorder="1"/>
    <xf numFmtId="0" fontId="20" fillId="10" borderId="7" xfId="0" applyFont="1" applyFill="1" applyBorder="1"/>
    <xf numFmtId="0" fontId="20" fillId="2" borderId="6" xfId="0" applyFont="1" applyFill="1" applyBorder="1"/>
    <xf numFmtId="0" fontId="20" fillId="2" borderId="7" xfId="0" applyFont="1" applyFill="1" applyBorder="1"/>
    <xf numFmtId="4" fontId="21" fillId="10" borderId="1" xfId="0" applyNumberFormat="1" applyFont="1" applyFill="1" applyBorder="1"/>
    <xf numFmtId="4" fontId="21" fillId="2" borderId="1" xfId="0" applyNumberFormat="1" applyFont="1" applyFill="1" applyBorder="1"/>
    <xf numFmtId="9" fontId="0" fillId="0" borderId="1" xfId="0" applyNumberFormat="1" applyBorder="1"/>
    <xf numFmtId="4" fontId="0" fillId="0" borderId="1" xfId="0" applyNumberFormat="1" applyBorder="1" applyProtection="1">
      <protection locked="0"/>
    </xf>
    <xf numFmtId="0" fontId="6" fillId="3" borderId="25" xfId="0" applyFont="1" applyFill="1" applyBorder="1"/>
    <xf numFmtId="0" fontId="6" fillId="3" borderId="0" xfId="0" applyFont="1" applyFill="1" applyAlignment="1">
      <alignment horizontal="center" vertical="justify" wrapText="1"/>
    </xf>
    <xf numFmtId="9" fontId="0" fillId="11" borderId="2" xfId="0" applyNumberFormat="1" applyFill="1" applyBorder="1"/>
    <xf numFmtId="9" fontId="0" fillId="0" borderId="2" xfId="0" applyNumberFormat="1" applyBorder="1"/>
    <xf numFmtId="10" fontId="0" fillId="11" borderId="1" xfId="0" applyNumberFormat="1" applyFill="1" applyBorder="1"/>
    <xf numFmtId="0" fontId="0" fillId="0" borderId="1" xfId="0" applyBorder="1" applyAlignment="1">
      <alignment horizontal="center"/>
    </xf>
    <xf numFmtId="0" fontId="0" fillId="0" borderId="39" xfId="0" applyBorder="1"/>
    <xf numFmtId="0" fontId="0" fillId="0" borderId="22" xfId="0" applyBorder="1" applyAlignment="1">
      <alignment wrapText="1" shrinkToFit="1"/>
    </xf>
    <xf numFmtId="0" fontId="23" fillId="13" borderId="6" xfId="0" applyFont="1" applyFill="1" applyBorder="1"/>
    <xf numFmtId="0" fontId="6" fillId="3" borderId="0" xfId="0" applyFont="1" applyFill="1" applyAlignment="1">
      <alignment horizontal="center" vertical="center" wrapText="1"/>
    </xf>
    <xf numFmtId="9" fontId="0" fillId="11" borderId="1" xfId="0" applyNumberFormat="1" applyFill="1" applyBorder="1"/>
    <xf numFmtId="3" fontId="6" fillId="8" borderId="3" xfId="0" applyNumberFormat="1" applyFont="1" applyFill="1" applyBorder="1" applyAlignment="1">
      <alignment horizontal="right" vertical="center" wrapText="1"/>
    </xf>
    <xf numFmtId="4" fontId="6" fillId="8" borderId="3" xfId="0" applyNumberFormat="1" applyFont="1" applyFill="1" applyBorder="1" applyAlignment="1">
      <alignment horizontal="right" vertical="center" wrapText="1"/>
    </xf>
    <xf numFmtId="4" fontId="0" fillId="0" borderId="1" xfId="0" applyNumberFormat="1" applyBorder="1" applyAlignment="1">
      <alignment horizontal="left"/>
    </xf>
    <xf numFmtId="4" fontId="19" fillId="0" borderId="1" xfId="0" applyNumberFormat="1" applyFont="1" applyBorder="1" applyAlignment="1">
      <alignment horizontal="left"/>
    </xf>
    <xf numFmtId="10" fontId="12" fillId="0" borderId="35" xfId="1" applyNumberFormat="1" applyFont="1" applyBorder="1" applyAlignment="1" applyProtection="1">
      <alignment horizontal="center" vertical="center"/>
    </xf>
    <xf numFmtId="9" fontId="0" fillId="9" borderId="1" xfId="0" applyNumberFormat="1" applyFill="1" applyBorder="1"/>
    <xf numFmtId="4" fontId="0" fillId="9" borderId="1" xfId="0" applyNumberFormat="1" applyFill="1" applyBorder="1"/>
    <xf numFmtId="0" fontId="0" fillId="0" borderId="20" xfId="0" applyBorder="1" applyAlignment="1">
      <alignment horizontal="left" vertical="top"/>
    </xf>
    <xf numFmtId="0" fontId="6" fillId="5" borderId="3" xfId="0" applyFont="1" applyFill="1" applyBorder="1" applyAlignment="1">
      <alignment horizontal="left" vertical="top"/>
    </xf>
    <xf numFmtId="0" fontId="16" fillId="0" borderId="17" xfId="0" applyFont="1" applyBorder="1" applyAlignment="1">
      <alignment horizontal="left" vertical="top"/>
    </xf>
    <xf numFmtId="0" fontId="0" fillId="7" borderId="20" xfId="0" applyFill="1" applyBorder="1" applyAlignment="1">
      <alignment horizontal="left" vertical="top"/>
    </xf>
    <xf numFmtId="0" fontId="0" fillId="0" borderId="23" xfId="0" applyBorder="1" applyAlignment="1">
      <alignment horizontal="left" vertical="top"/>
    </xf>
    <xf numFmtId="0" fontId="6" fillId="5" borderId="3" xfId="0" applyFont="1" applyFill="1" applyBorder="1" applyAlignment="1">
      <alignment horizontal="center" vertical="top"/>
    </xf>
    <xf numFmtId="0" fontId="0" fillId="7" borderId="44" xfId="0" applyFill="1" applyBorder="1" applyAlignment="1">
      <alignment horizontal="left" vertical="top"/>
    </xf>
    <xf numFmtId="0" fontId="0" fillId="0" borderId="44" xfId="0" applyBorder="1"/>
    <xf numFmtId="0" fontId="0" fillId="0" borderId="45" xfId="0" applyBorder="1"/>
    <xf numFmtId="0" fontId="0" fillId="0" borderId="47" xfId="0" applyBorder="1"/>
    <xf numFmtId="0" fontId="16" fillId="0" borderId="0" xfId="0" applyFont="1" applyAlignment="1">
      <alignment horizontal="left" vertical="top"/>
    </xf>
    <xf numFmtId="0" fontId="0" fillId="0" borderId="50" xfId="0" applyBorder="1"/>
    <xf numFmtId="0" fontId="0" fillId="0" borderId="51" xfId="0" applyBorder="1"/>
    <xf numFmtId="0" fontId="0" fillId="0" borderId="52" xfId="0" applyBorder="1"/>
    <xf numFmtId="0" fontId="0" fillId="0" borderId="60" xfId="0" applyBorder="1"/>
    <xf numFmtId="0" fontId="16" fillId="0" borderId="58" xfId="0" applyFont="1" applyBorder="1" applyAlignment="1">
      <alignment horizontal="left" vertical="top"/>
    </xf>
    <xf numFmtId="0" fontId="26" fillId="0" borderId="20" xfId="0" applyFont="1" applyBorder="1" applyAlignment="1">
      <alignment horizontal="left" vertical="top" indent="1"/>
    </xf>
    <xf numFmtId="0" fontId="0" fillId="0" borderId="20" xfId="0" applyBorder="1" applyAlignment="1">
      <alignment horizontal="left" vertical="top" wrapText="1" indent="1" shrinkToFit="1"/>
    </xf>
    <xf numFmtId="0" fontId="0" fillId="7" borderId="8" xfId="0" applyFill="1" applyBorder="1"/>
    <xf numFmtId="0" fontId="0" fillId="7" borderId="9" xfId="0" applyFill="1" applyBorder="1"/>
    <xf numFmtId="0" fontId="0" fillId="0" borderId="9" xfId="0" applyBorder="1"/>
    <xf numFmtId="0" fontId="0" fillId="7" borderId="10" xfId="0" applyFill="1" applyBorder="1"/>
    <xf numFmtId="0" fontId="0" fillId="7" borderId="11" xfId="0" applyFill="1" applyBorder="1"/>
    <xf numFmtId="0" fontId="0" fillId="7" borderId="0" xfId="0" applyFill="1"/>
    <xf numFmtId="0" fontId="0" fillId="7" borderId="12" xfId="0" applyFill="1" applyBorder="1"/>
    <xf numFmtId="0" fontId="0" fillId="6" borderId="1" xfId="0" applyFill="1" applyBorder="1" applyAlignment="1">
      <alignment horizontal="left"/>
    </xf>
    <xf numFmtId="0" fontId="0" fillId="6" borderId="19" xfId="0" applyFill="1" applyBorder="1" applyAlignment="1">
      <alignment horizontal="left"/>
    </xf>
    <xf numFmtId="0" fontId="17" fillId="7" borderId="0" xfId="0" applyFont="1" applyFill="1"/>
    <xf numFmtId="0" fontId="0" fillId="6" borderId="19" xfId="0" applyFill="1" applyBorder="1"/>
    <xf numFmtId="4" fontId="0" fillId="6" borderId="2" xfId="0" applyNumberFormat="1" applyFill="1" applyBorder="1" applyAlignment="1">
      <alignment horizontal="left"/>
    </xf>
    <xf numFmtId="0" fontId="7" fillId="7" borderId="0" xfId="0" applyFont="1" applyFill="1"/>
    <xf numFmtId="9" fontId="6" fillId="8" borderId="38" xfId="0" applyNumberFormat="1" applyFont="1" applyFill="1" applyBorder="1" applyAlignment="1">
      <alignment horizontal="right" vertical="center" wrapText="1"/>
    </xf>
    <xf numFmtId="9" fontId="0" fillId="0" borderId="0" xfId="0" applyNumberFormat="1"/>
    <xf numFmtId="0" fontId="7" fillId="7" borderId="0" xfId="0" applyFont="1" applyFill="1" applyAlignment="1">
      <alignment horizontal="center"/>
    </xf>
    <xf numFmtId="0" fontId="6" fillId="5" borderId="3" xfId="0" applyFont="1" applyFill="1" applyBorder="1" applyAlignment="1">
      <alignment horizontal="center" vertical="center" wrapText="1"/>
    </xf>
    <xf numFmtId="0" fontId="6" fillId="16" borderId="0" xfId="0" applyFont="1" applyFill="1" applyAlignment="1">
      <alignment horizontal="center" vertical="center" wrapText="1"/>
    </xf>
    <xf numFmtId="10" fontId="0" fillId="6" borderId="1" xfId="0" applyNumberFormat="1" applyFill="1" applyBorder="1"/>
    <xf numFmtId="9" fontId="0" fillId="7" borderId="0" xfId="0" applyNumberFormat="1" applyFill="1"/>
    <xf numFmtId="9" fontId="6" fillId="8" borderId="3" xfId="0" applyNumberFormat="1" applyFont="1" applyFill="1" applyBorder="1" applyAlignment="1">
      <alignment horizontal="right" vertical="center" wrapText="1"/>
    </xf>
    <xf numFmtId="0" fontId="1" fillId="0" borderId="0" xfId="0" applyFont="1" applyAlignment="1">
      <alignment horizontal="right"/>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0" fillId="6" borderId="1" xfId="0" applyFill="1" applyBorder="1"/>
    <xf numFmtId="9" fontId="0" fillId="14" borderId="1" xfId="0" applyNumberFormat="1" applyFill="1" applyBorder="1"/>
    <xf numFmtId="3" fontId="0" fillId="15" borderId="1" xfId="0" applyNumberFormat="1" applyFill="1" applyBorder="1"/>
    <xf numFmtId="3" fontId="0" fillId="7" borderId="0" xfId="0" applyNumberFormat="1" applyFill="1"/>
    <xf numFmtId="0" fontId="1" fillId="0" borderId="0" xfId="0" applyFont="1"/>
    <xf numFmtId="4" fontId="0" fillId="12" borderId="18" xfId="0" applyNumberFormat="1" applyFill="1" applyBorder="1"/>
    <xf numFmtId="9" fontId="0" fillId="12" borderId="18" xfId="0" applyNumberFormat="1" applyFill="1" applyBorder="1"/>
    <xf numFmtId="9" fontId="0" fillId="12" borderId="1" xfId="0" applyNumberFormat="1" applyFill="1" applyBorder="1"/>
    <xf numFmtId="3" fontId="6" fillId="16" borderId="0" xfId="0" applyNumberFormat="1" applyFont="1" applyFill="1" applyAlignment="1">
      <alignment horizontal="right" vertical="center" wrapText="1"/>
    </xf>
    <xf numFmtId="0" fontId="24" fillId="0" borderId="28" xfId="0" applyFont="1" applyBorder="1"/>
    <xf numFmtId="0" fontId="1" fillId="7" borderId="0" xfId="0" applyFont="1" applyFill="1" applyAlignment="1">
      <alignment horizontal="right"/>
    </xf>
    <xf numFmtId="0" fontId="1" fillId="7" borderId="0" xfId="0" applyFont="1" applyFill="1"/>
    <xf numFmtId="4" fontId="25" fillId="0" borderId="1" xfId="0" applyNumberFormat="1" applyFont="1" applyBorder="1"/>
    <xf numFmtId="4" fontId="0" fillId="6" borderId="1" xfId="0" applyNumberFormat="1" applyFill="1" applyBorder="1"/>
    <xf numFmtId="164" fontId="12" fillId="0" borderId="35" xfId="0" applyNumberFormat="1" applyFont="1" applyBorder="1" applyAlignment="1">
      <alignment horizontal="center" vertical="center"/>
    </xf>
    <xf numFmtId="0" fontId="24" fillId="16" borderId="0" xfId="0" applyFont="1" applyFill="1" applyAlignment="1">
      <alignment horizontal="center" vertical="center" wrapText="1"/>
    </xf>
    <xf numFmtId="2" fontId="7" fillId="7" borderId="12" xfId="0" applyNumberFormat="1" applyFont="1" applyFill="1" applyBorder="1"/>
    <xf numFmtId="4" fontId="12" fillId="0" borderId="35" xfId="0" applyNumberFormat="1" applyFont="1" applyBorder="1" applyAlignment="1">
      <alignment horizontal="center" vertical="center"/>
    </xf>
    <xf numFmtId="2" fontId="12" fillId="0" borderId="35" xfId="0" applyNumberFormat="1" applyFont="1" applyBorder="1" applyAlignment="1">
      <alignment horizontal="center" vertical="center"/>
    </xf>
    <xf numFmtId="164" fontId="6" fillId="8" borderId="3" xfId="0" applyNumberFormat="1" applyFont="1" applyFill="1" applyBorder="1" applyAlignment="1">
      <alignment horizontal="center" vertical="center" wrapText="1"/>
    </xf>
    <xf numFmtId="4" fontId="0" fillId="7" borderId="0" xfId="0" applyNumberFormat="1" applyFill="1"/>
    <xf numFmtId="0" fontId="0" fillId="7" borderId="13" xfId="0" applyFill="1" applyBorder="1"/>
    <xf numFmtId="0" fontId="0" fillId="7" borderId="14" xfId="0" applyFill="1" applyBorder="1"/>
    <xf numFmtId="0" fontId="0" fillId="7" borderId="15" xfId="0" applyFill="1" applyBorder="1"/>
    <xf numFmtId="0" fontId="0" fillId="0" borderId="20" xfId="0" applyBorder="1" applyAlignment="1">
      <alignment horizontal="left" vertical="top" wrapText="1"/>
    </xf>
    <xf numFmtId="0" fontId="19" fillId="0" borderId="1" xfId="0" applyFont="1" applyBorder="1" applyAlignment="1">
      <alignment horizontal="left" wrapText="1"/>
    </xf>
    <xf numFmtId="4" fontId="0" fillId="0" borderId="1" xfId="0" applyNumberFormat="1" applyBorder="1" applyAlignment="1">
      <alignment horizontal="center" vertical="center"/>
    </xf>
    <xf numFmtId="0" fontId="0" fillId="0" borderId="0" xfId="0" applyAlignment="1">
      <alignment wrapText="1" shrinkToFit="1"/>
    </xf>
    <xf numFmtId="4" fontId="20" fillId="2" borderId="7" xfId="0" applyNumberFormat="1" applyFont="1" applyFill="1" applyBorder="1"/>
    <xf numFmtId="4" fontId="11" fillId="0" borderId="19" xfId="0" applyNumberFormat="1" applyFont="1" applyBorder="1" applyAlignment="1">
      <alignment horizontal="right"/>
    </xf>
    <xf numFmtId="4" fontId="20" fillId="2" borderId="69" xfId="0" applyNumberFormat="1" applyFont="1" applyFill="1" applyBorder="1"/>
    <xf numFmtId="0" fontId="1" fillId="0" borderId="68" xfId="0" applyFont="1" applyBorder="1" applyAlignment="1">
      <alignment horizontal="right"/>
    </xf>
    <xf numFmtId="4" fontId="1" fillId="0" borderId="68" xfId="0" applyNumberFormat="1" applyFont="1" applyBorder="1"/>
    <xf numFmtId="2" fontId="0" fillId="17" borderId="0" xfId="0" applyNumberFormat="1" applyFill="1"/>
    <xf numFmtId="4" fontId="20" fillId="18" borderId="7" xfId="0" applyNumberFormat="1" applyFont="1" applyFill="1" applyBorder="1"/>
    <xf numFmtId="0" fontId="4" fillId="0" borderId="0" xfId="0" quotePrefix="1" applyFont="1" applyAlignment="1">
      <alignment horizontal="center" vertical="center"/>
    </xf>
    <xf numFmtId="0" fontId="20" fillId="4" borderId="73" xfId="0" applyFont="1" applyFill="1" applyBorder="1"/>
    <xf numFmtId="0" fontId="6" fillId="5" borderId="27" xfId="0" applyFont="1" applyFill="1" applyBorder="1"/>
    <xf numFmtId="0" fontId="20" fillId="10" borderId="73" xfId="0" applyFont="1" applyFill="1" applyBorder="1"/>
    <xf numFmtId="0" fontId="20" fillId="2" borderId="73" xfId="0" applyFont="1" applyFill="1" applyBorder="1"/>
    <xf numFmtId="0" fontId="0" fillId="6" borderId="18" xfId="0" applyFill="1" applyBorder="1"/>
    <xf numFmtId="0" fontId="6" fillId="8" borderId="31" xfId="0" applyFont="1" applyFill="1" applyBorder="1" applyAlignment="1">
      <alignment vertical="center" wrapText="1"/>
    </xf>
    <xf numFmtId="0" fontId="17" fillId="7" borderId="11" xfId="0" applyFont="1" applyFill="1" applyBorder="1"/>
    <xf numFmtId="0" fontId="0" fillId="0" borderId="0" xfId="0" applyAlignment="1">
      <alignment vertical="center"/>
    </xf>
    <xf numFmtId="0" fontId="0" fillId="6" borderId="18" xfId="0" applyFill="1" applyBorder="1" applyAlignment="1">
      <alignment vertical="center" wrapText="1"/>
    </xf>
    <xf numFmtId="0" fontId="6" fillId="8" borderId="74" xfId="0" applyFont="1" applyFill="1" applyBorder="1" applyAlignment="1">
      <alignment horizontal="center" vertical="center" wrapText="1"/>
    </xf>
    <xf numFmtId="2" fontId="25" fillId="0" borderId="1" xfId="0" applyNumberFormat="1" applyFont="1" applyBorder="1" applyAlignment="1">
      <alignment horizontal="center" vertical="center"/>
    </xf>
    <xf numFmtId="2" fontId="0" fillId="0" borderId="1" xfId="0" applyNumberFormat="1" applyBorder="1" applyAlignment="1">
      <alignment horizontal="center" vertical="center"/>
    </xf>
    <xf numFmtId="2" fontId="0" fillId="6" borderId="1" xfId="0" applyNumberFormat="1" applyFill="1" applyBorder="1" applyAlignment="1">
      <alignment horizontal="center" vertical="center"/>
    </xf>
    <xf numFmtId="165" fontId="25" fillId="0" borderId="1" xfId="0" applyNumberFormat="1" applyFont="1" applyBorder="1" applyAlignment="1">
      <alignment horizontal="center" vertical="center"/>
    </xf>
    <xf numFmtId="2" fontId="0" fillId="0" borderId="1" xfId="0" applyNumberFormat="1" applyBorder="1" applyAlignment="1">
      <alignment horizontal="center" vertical="center" wrapText="1"/>
    </xf>
    <xf numFmtId="0" fontId="6" fillId="5" borderId="0" xfId="0" applyFont="1" applyFill="1" applyAlignment="1">
      <alignment horizontal="center" vertical="center" wrapText="1"/>
    </xf>
    <xf numFmtId="2" fontId="19" fillId="4" borderId="1" xfId="0" applyNumberFormat="1" applyFont="1" applyFill="1" applyBorder="1" applyAlignment="1">
      <alignment horizontal="center" vertical="center" wrapText="1"/>
    </xf>
    <xf numFmtId="0" fontId="19" fillId="2" borderId="1" xfId="0" applyFont="1" applyFill="1" applyBorder="1" applyAlignment="1">
      <alignment horizontal="center" wrapText="1"/>
    </xf>
    <xf numFmtId="1" fontId="27" fillId="4" borderId="1" xfId="0" applyNumberFormat="1" applyFont="1" applyFill="1" applyBorder="1" applyAlignment="1">
      <alignment horizontal="center" vertical="center" wrapText="1"/>
    </xf>
    <xf numFmtId="1" fontId="27" fillId="10" borderId="1" xfId="0" applyNumberFormat="1" applyFont="1" applyFill="1" applyBorder="1" applyAlignment="1">
      <alignment horizontal="center" vertical="center" wrapText="1"/>
    </xf>
    <xf numFmtId="1" fontId="27" fillId="2" borderId="1" xfId="0" applyNumberFormat="1" applyFont="1" applyFill="1" applyBorder="1" applyAlignment="1">
      <alignment horizontal="center" vertical="center" wrapText="1"/>
    </xf>
    <xf numFmtId="9" fontId="0" fillId="0" borderId="1" xfId="0" applyNumberFormat="1" applyBorder="1" applyProtection="1">
      <protection locked="0"/>
    </xf>
    <xf numFmtId="4" fontId="0" fillId="0" borderId="34" xfId="0" applyNumberFormat="1" applyBorder="1" applyProtection="1">
      <protection locked="0"/>
    </xf>
    <xf numFmtId="4" fontId="28" fillId="9" borderId="34" xfId="0" applyNumberFormat="1" applyFont="1" applyFill="1" applyBorder="1"/>
    <xf numFmtId="4" fontId="28" fillId="9" borderId="1" xfId="0" applyNumberFormat="1" applyFont="1" applyFill="1" applyBorder="1"/>
    <xf numFmtId="4" fontId="0" fillId="20" borderId="1" xfId="0" applyNumberFormat="1" applyFill="1" applyBorder="1"/>
    <xf numFmtId="0" fontId="0" fillId="6" borderId="85" xfId="0" applyFill="1" applyBorder="1"/>
    <xf numFmtId="0" fontId="19" fillId="10" borderId="1" xfId="0" applyFont="1" applyFill="1" applyBorder="1" applyAlignment="1">
      <alignment horizontal="center" vertical="center" wrapText="1"/>
    </xf>
    <xf numFmtId="49" fontId="0" fillId="0" borderId="22" xfId="0" applyNumberFormat="1" applyBorder="1" applyAlignment="1">
      <alignment horizontal="right"/>
    </xf>
    <xf numFmtId="49" fontId="0" fillId="0" borderId="43" xfId="0" applyNumberFormat="1" applyBorder="1" applyAlignment="1">
      <alignment horizontal="right"/>
    </xf>
    <xf numFmtId="49" fontId="0" fillId="0" borderId="46" xfId="0" applyNumberFormat="1" applyBorder="1" applyAlignment="1">
      <alignment horizontal="right"/>
    </xf>
    <xf numFmtId="49" fontId="16" fillId="0" borderId="46" xfId="0" applyNumberFormat="1" applyFont="1" applyBorder="1" applyAlignment="1">
      <alignment horizontal="right"/>
    </xf>
    <xf numFmtId="49" fontId="1" fillId="0" borderId="46" xfId="0" applyNumberFormat="1" applyFont="1" applyBorder="1" applyAlignment="1">
      <alignment horizontal="right"/>
    </xf>
    <xf numFmtId="49" fontId="16" fillId="0" borderId="46" xfId="0" applyNumberFormat="1" applyFont="1" applyBorder="1" applyAlignment="1">
      <alignment horizontal="right" vertical="top"/>
    </xf>
    <xf numFmtId="49" fontId="0" fillId="0" borderId="48" xfId="0" applyNumberFormat="1" applyBorder="1" applyAlignment="1">
      <alignment horizontal="right"/>
    </xf>
    <xf numFmtId="49" fontId="0" fillId="0" borderId="49" xfId="0" applyNumberFormat="1" applyBorder="1" applyAlignment="1">
      <alignment horizontal="right"/>
    </xf>
    <xf numFmtId="49" fontId="0" fillId="0" borderId="23" xfId="0" applyNumberFormat="1" applyBorder="1" applyAlignment="1">
      <alignment horizontal="right"/>
    </xf>
    <xf numFmtId="49" fontId="0" fillId="0" borderId="20" xfId="0" applyNumberFormat="1" applyBorder="1" applyAlignment="1">
      <alignment horizontal="right"/>
    </xf>
    <xf numFmtId="0" fontId="6" fillId="8" borderId="84"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6" fillId="5" borderId="29" xfId="0" applyFont="1" applyFill="1" applyBorder="1"/>
    <xf numFmtId="0" fontId="6" fillId="8" borderId="0" xfId="0" applyFont="1" applyFill="1" applyAlignment="1">
      <alignment horizontal="center" vertical="center" wrapText="1"/>
    </xf>
    <xf numFmtId="0" fontId="19" fillId="4" borderId="1" xfId="0" applyFont="1" applyFill="1" applyBorder="1" applyAlignment="1">
      <alignment horizontal="center" vertical="center" wrapText="1"/>
    </xf>
    <xf numFmtId="0" fontId="19" fillId="10" borderId="18" xfId="0" applyFont="1" applyFill="1" applyBorder="1" applyAlignment="1">
      <alignment horizontal="center" vertical="center" wrapText="1"/>
    </xf>
    <xf numFmtId="3" fontId="0" fillId="0" borderId="1" xfId="0" applyNumberFormat="1" applyBorder="1" applyProtection="1">
      <protection locked="0"/>
    </xf>
    <xf numFmtId="49" fontId="0" fillId="0" borderId="53" xfId="0" applyNumberFormat="1" applyBorder="1" applyAlignment="1">
      <alignment horizontal="right"/>
    </xf>
    <xf numFmtId="0" fontId="0" fillId="0" borderId="54" xfId="0" applyBorder="1"/>
    <xf numFmtId="0" fontId="0" fillId="0" borderId="55" xfId="0" applyBorder="1"/>
    <xf numFmtId="49" fontId="0" fillId="0" borderId="56" xfId="0" applyNumberFormat="1" applyBorder="1" applyAlignment="1">
      <alignment horizontal="right"/>
    </xf>
    <xf numFmtId="0" fontId="6" fillId="5" borderId="27" xfId="0" applyFont="1" applyFill="1" applyBorder="1" applyAlignment="1">
      <alignment horizontal="center"/>
    </xf>
    <xf numFmtId="0" fontId="0" fillId="0" borderId="57" xfId="0" applyBorder="1"/>
    <xf numFmtId="0" fontId="16" fillId="0" borderId="58" xfId="0" applyFont="1" applyBorder="1" applyAlignment="1">
      <alignment horizontal="left"/>
    </xf>
    <xf numFmtId="9" fontId="16" fillId="0" borderId="59" xfId="0" applyNumberFormat="1" applyFont="1" applyBorder="1" applyAlignment="1">
      <alignment horizontal="right"/>
    </xf>
    <xf numFmtId="0" fontId="1" fillId="0" borderId="20" xfId="0" applyFont="1" applyBorder="1"/>
    <xf numFmtId="0" fontId="16" fillId="0" borderId="17" xfId="0" applyFont="1" applyBorder="1" applyAlignment="1">
      <alignment horizontal="left"/>
    </xf>
    <xf numFmtId="0" fontId="0" fillId="0" borderId="22" xfId="0" applyBorder="1" applyAlignment="1">
      <alignment horizontal="left" vertical="top" wrapText="1" indent="2" shrinkToFit="1"/>
    </xf>
    <xf numFmtId="0" fontId="0" fillId="7" borderId="20" xfId="0" applyFill="1" applyBorder="1" applyAlignment="1">
      <alignment horizontal="left" indent="5"/>
    </xf>
    <xf numFmtId="0" fontId="0" fillId="7" borderId="20" xfId="0" applyFill="1" applyBorder="1"/>
    <xf numFmtId="0" fontId="0" fillId="0" borderId="22" xfId="0" applyBorder="1" applyAlignment="1">
      <alignment horizontal="justify" vertical="top" wrapText="1" shrinkToFit="1"/>
    </xf>
    <xf numFmtId="0" fontId="0" fillId="0" borderId="61" xfId="0" applyBorder="1" applyAlignment="1">
      <alignment wrapText="1" shrinkToFit="1"/>
    </xf>
    <xf numFmtId="9" fontId="22" fillId="0" borderId="62" xfId="0" applyNumberFormat="1" applyFont="1" applyBorder="1"/>
    <xf numFmtId="0" fontId="16" fillId="0" borderId="17" xfId="0" applyFont="1" applyBorder="1" applyAlignment="1">
      <alignment horizontal="left" wrapText="1" shrinkToFit="1"/>
    </xf>
    <xf numFmtId="49" fontId="0" fillId="0" borderId="20" xfId="0" applyNumberFormat="1" applyBorder="1"/>
    <xf numFmtId="0" fontId="17" fillId="0" borderId="0" xfId="0" applyFont="1"/>
    <xf numFmtId="0" fontId="29" fillId="0" borderId="0" xfId="0" applyFont="1"/>
    <xf numFmtId="4" fontId="25" fillId="0" borderId="70" xfId="0" applyNumberFormat="1" applyFont="1" applyBorder="1" applyAlignment="1">
      <alignment horizontal="right"/>
    </xf>
    <xf numFmtId="4" fontId="25" fillId="0" borderId="71" xfId="0" applyNumberFormat="1" applyFont="1" applyBorder="1" applyAlignment="1">
      <alignment horizontal="right"/>
    </xf>
    <xf numFmtId="0" fontId="20" fillId="4" borderId="70" xfId="0" applyFont="1" applyFill="1" applyBorder="1" applyAlignment="1">
      <alignment horizontal="right"/>
    </xf>
    <xf numFmtId="0" fontId="20" fillId="4" borderId="71" xfId="0" applyFont="1" applyFill="1" applyBorder="1" applyAlignment="1">
      <alignment horizontal="right"/>
    </xf>
    <xf numFmtId="0" fontId="20" fillId="10" borderId="70" xfId="0" applyFont="1" applyFill="1" applyBorder="1" applyAlignment="1">
      <alignment horizontal="right"/>
    </xf>
    <xf numFmtId="0" fontId="20" fillId="10" borderId="71" xfId="0" applyFont="1" applyFill="1" applyBorder="1" applyAlignment="1">
      <alignment horizontal="right"/>
    </xf>
    <xf numFmtId="0" fontId="20" fillId="2" borderId="70" xfId="0" applyFont="1" applyFill="1" applyBorder="1" applyAlignment="1">
      <alignment horizontal="right"/>
    </xf>
    <xf numFmtId="0" fontId="20" fillId="2" borderId="72" xfId="0" applyFont="1" applyFill="1" applyBorder="1" applyAlignment="1">
      <alignment horizontal="right"/>
    </xf>
    <xf numFmtId="0" fontId="20" fillId="18" borderId="70" xfId="0" applyFont="1" applyFill="1" applyBorder="1" applyAlignment="1">
      <alignment horizontal="right"/>
    </xf>
    <xf numFmtId="0" fontId="20" fillId="18" borderId="72" xfId="0" applyFont="1" applyFill="1" applyBorder="1" applyAlignment="1">
      <alignment horizontal="right"/>
    </xf>
    <xf numFmtId="0" fontId="6" fillId="5" borderId="32" xfId="0" applyFont="1" applyFill="1" applyBorder="1" applyAlignment="1">
      <alignment horizontal="center"/>
    </xf>
    <xf numFmtId="0" fontId="6" fillId="5" borderId="29" xfId="0" applyFont="1" applyFill="1" applyBorder="1" applyAlignment="1">
      <alignment horizontal="center"/>
    </xf>
    <xf numFmtId="0" fontId="6" fillId="3" borderId="6" xfId="0" applyFont="1" applyFill="1" applyBorder="1" applyAlignment="1">
      <alignment horizontal="left"/>
    </xf>
    <xf numFmtId="0" fontId="6" fillId="3" borderId="7" xfId="0" applyFont="1" applyFill="1" applyBorder="1" applyAlignment="1">
      <alignment horizontal="left"/>
    </xf>
    <xf numFmtId="0" fontId="0" fillId="0" borderId="2" xfId="0" applyBorder="1" applyAlignment="1">
      <alignment horizontal="left"/>
    </xf>
    <xf numFmtId="0" fontId="9" fillId="7" borderId="0" xfId="0" applyFont="1" applyFill="1" applyAlignment="1">
      <alignment horizontal="left"/>
    </xf>
    <xf numFmtId="0" fontId="0" fillId="6" borderId="17" xfId="0" applyFill="1" applyBorder="1" applyAlignment="1">
      <alignment horizontal="left"/>
    </xf>
    <xf numFmtId="0" fontId="0" fillId="6" borderId="18" xfId="0" applyFill="1" applyBorder="1" applyAlignment="1">
      <alignment horizontal="left"/>
    </xf>
    <xf numFmtId="0" fontId="6" fillId="5" borderId="26" xfId="0" applyFont="1" applyFill="1" applyBorder="1" applyAlignment="1">
      <alignment horizontal="left" vertical="center" wrapText="1"/>
    </xf>
    <xf numFmtId="0" fontId="6" fillId="5" borderId="0" xfId="0" applyFont="1" applyFill="1" applyAlignment="1">
      <alignment horizontal="left" vertical="center" wrapText="1"/>
    </xf>
    <xf numFmtId="0" fontId="0" fillId="0" borderId="17" xfId="0" applyBorder="1" applyAlignment="1">
      <alignment horizontal="left"/>
    </xf>
    <xf numFmtId="0" fontId="0" fillId="0" borderId="18" xfId="0" applyBorder="1" applyAlignment="1">
      <alignment horizontal="left"/>
    </xf>
    <xf numFmtId="0" fontId="6" fillId="5" borderId="3" xfId="0" applyFont="1" applyFill="1" applyBorder="1" applyAlignment="1">
      <alignment horizontal="left"/>
    </xf>
    <xf numFmtId="0" fontId="6" fillId="5" borderId="4" xfId="0" applyFont="1" applyFill="1" applyBorder="1" applyAlignment="1">
      <alignment horizontal="left"/>
    </xf>
    <xf numFmtId="0" fontId="6" fillId="5" borderId="5" xfId="0" applyFont="1" applyFill="1" applyBorder="1" applyAlignment="1">
      <alignment horizontal="left"/>
    </xf>
    <xf numFmtId="0" fontId="6" fillId="5" borderId="27" xfId="0" applyFont="1" applyFill="1" applyBorder="1" applyAlignment="1">
      <alignment horizontal="left" vertical="center" wrapText="1"/>
    </xf>
    <xf numFmtId="0" fontId="6" fillId="5" borderId="28" xfId="0" applyFont="1" applyFill="1" applyBorder="1" applyAlignment="1">
      <alignment horizontal="left" vertical="center" wrapText="1"/>
    </xf>
    <xf numFmtId="0" fontId="6" fillId="5" borderId="33" xfId="0" applyFont="1" applyFill="1" applyBorder="1" applyAlignment="1">
      <alignment horizontal="left" vertical="center" wrapText="1"/>
    </xf>
    <xf numFmtId="0" fontId="0" fillId="0" borderId="88" xfId="0" applyBorder="1" applyAlignment="1">
      <alignment horizontal="left"/>
    </xf>
    <xf numFmtId="0" fontId="0" fillId="0" borderId="89" xfId="0" applyBorder="1" applyAlignment="1">
      <alignment horizontal="left"/>
    </xf>
    <xf numFmtId="0" fontId="0" fillId="0" borderId="40" xfId="0" applyBorder="1" applyAlignment="1">
      <alignment horizontal="left"/>
    </xf>
    <xf numFmtId="0" fontId="0" fillId="0" borderId="66" xfId="0" applyBorder="1" applyAlignment="1">
      <alignment horizontal="left"/>
    </xf>
    <xf numFmtId="0" fontId="0" fillId="0" borderId="86" xfId="0" applyBorder="1" applyAlignment="1">
      <alignment horizontal="left"/>
    </xf>
    <xf numFmtId="0" fontId="0" fillId="0" borderId="87" xfId="0" applyBorder="1" applyAlignment="1">
      <alignment horizontal="left"/>
    </xf>
    <xf numFmtId="0" fontId="0" fillId="0" borderId="40" xfId="0" applyBorder="1" applyAlignment="1">
      <alignment horizontal="left" vertical="top"/>
    </xf>
    <xf numFmtId="0" fontId="0" fillId="0" borderId="66" xfId="0" applyBorder="1" applyAlignment="1">
      <alignment horizontal="left" vertical="top"/>
    </xf>
    <xf numFmtId="4" fontId="0" fillId="6" borderId="36" xfId="0" applyNumberFormat="1" applyFill="1" applyBorder="1" applyAlignment="1">
      <alignment horizontal="justify" vertical="top" wrapText="1"/>
    </xf>
    <xf numFmtId="4" fontId="0" fillId="6" borderId="67" xfId="0" applyNumberFormat="1" applyFill="1" applyBorder="1" applyAlignment="1">
      <alignment horizontal="justify" vertical="top" wrapText="1"/>
    </xf>
    <xf numFmtId="4" fontId="0" fillId="6" borderId="37" xfId="0" applyNumberFormat="1" applyFill="1" applyBorder="1" applyAlignment="1">
      <alignment horizontal="justify" vertical="top" wrapText="1"/>
    </xf>
    <xf numFmtId="0" fontId="6" fillId="5" borderId="32" xfId="0" applyFont="1" applyFill="1" applyBorder="1" applyAlignment="1">
      <alignment horizontal="center" vertical="center" wrapText="1"/>
    </xf>
    <xf numFmtId="0" fontId="0" fillId="0" borderId="29" xfId="0" applyBorder="1" applyAlignment="1">
      <alignment horizontal="center" vertical="center" wrapText="1"/>
    </xf>
    <xf numFmtId="0" fontId="0" fillId="0" borderId="36" xfId="0" applyBorder="1" applyAlignment="1">
      <alignment horizontal="left"/>
    </xf>
    <xf numFmtId="0" fontId="0" fillId="0" borderId="37" xfId="0" applyBorder="1" applyAlignment="1">
      <alignment horizontal="left"/>
    </xf>
    <xf numFmtId="0" fontId="0" fillId="6" borderId="41" xfId="0" applyFill="1" applyBorder="1" applyAlignment="1">
      <alignment horizontal="left" vertical="top" wrapText="1"/>
    </xf>
    <xf numFmtId="0" fontId="0" fillId="6" borderId="42" xfId="0" applyFill="1" applyBorder="1" applyAlignment="1">
      <alignment horizontal="left" vertical="top" wrapText="1"/>
    </xf>
    <xf numFmtId="0" fontId="0" fillId="6" borderId="63" xfId="0" applyFill="1" applyBorder="1" applyAlignment="1">
      <alignment horizontal="left" vertical="top" wrapText="1"/>
    </xf>
    <xf numFmtId="0" fontId="0" fillId="6" borderId="26" xfId="0" applyFill="1" applyBorder="1" applyAlignment="1">
      <alignment horizontal="left" vertical="top" wrapText="1"/>
    </xf>
    <xf numFmtId="0" fontId="0" fillId="6" borderId="0" xfId="0" applyFill="1" applyAlignment="1">
      <alignment horizontal="left" vertical="top" wrapText="1"/>
    </xf>
    <xf numFmtId="0" fontId="0" fillId="6" borderId="64" xfId="0" applyFill="1" applyBorder="1" applyAlignment="1">
      <alignment horizontal="left" vertical="top" wrapText="1"/>
    </xf>
    <xf numFmtId="0" fontId="0" fillId="6" borderId="27" xfId="0" applyFill="1" applyBorder="1" applyAlignment="1">
      <alignment horizontal="left" vertical="top" wrapText="1"/>
    </xf>
    <xf numFmtId="0" fontId="0" fillId="6" borderId="28" xfId="0" applyFill="1" applyBorder="1" applyAlignment="1">
      <alignment horizontal="left" vertical="top" wrapText="1"/>
    </xf>
    <xf numFmtId="0" fontId="0" fillId="6" borderId="65" xfId="0" applyFill="1" applyBorder="1" applyAlignment="1">
      <alignment horizontal="left" vertical="top" wrapText="1"/>
    </xf>
    <xf numFmtId="0" fontId="6" fillId="8" borderId="0" xfId="0" applyFont="1" applyFill="1" applyAlignment="1">
      <alignment horizontal="center" vertical="center" wrapText="1"/>
    </xf>
    <xf numFmtId="0" fontId="6" fillId="8" borderId="16"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3" borderId="29" xfId="0" applyFont="1" applyFill="1" applyBorder="1" applyAlignment="1">
      <alignment horizontal="center"/>
    </xf>
    <xf numFmtId="4" fontId="6" fillId="8" borderId="30" xfId="0" applyNumberFormat="1" applyFont="1" applyFill="1" applyBorder="1" applyAlignment="1">
      <alignment horizontal="center" vertical="center" wrapText="1"/>
    </xf>
    <xf numFmtId="4" fontId="6" fillId="8" borderId="32" xfId="0" applyNumberFormat="1" applyFont="1" applyFill="1" applyBorder="1" applyAlignment="1">
      <alignment horizontal="center" vertical="center" wrapText="1"/>
    </xf>
    <xf numFmtId="9" fontId="19" fillId="2" borderId="1" xfId="0" applyNumberFormat="1" applyFont="1" applyFill="1" applyBorder="1" applyAlignment="1">
      <alignment horizontal="center" vertical="center" wrapText="1"/>
    </xf>
    <xf numFmtId="0" fontId="0" fillId="2" borderId="1" xfId="0" applyFill="1" applyBorder="1" applyAlignment="1">
      <alignment horizontal="center" vertical="center" wrapText="1"/>
    </xf>
    <xf numFmtId="0" fontId="19"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27" fillId="4" borderId="19" xfId="0" applyFont="1" applyFill="1" applyBorder="1" applyAlignment="1">
      <alignment horizontal="center" textRotation="255" wrapText="1"/>
    </xf>
    <xf numFmtId="0" fontId="27" fillId="4" borderId="24" xfId="0" applyFont="1" applyFill="1" applyBorder="1" applyAlignment="1">
      <alignment horizontal="center" textRotation="255" wrapText="1"/>
    </xf>
    <xf numFmtId="0" fontId="27" fillId="4" borderId="34" xfId="0" applyFont="1" applyFill="1" applyBorder="1" applyAlignment="1">
      <alignment horizontal="center" textRotation="255" wrapText="1"/>
    </xf>
    <xf numFmtId="0" fontId="27" fillId="10" borderId="1" xfId="0" applyFont="1" applyFill="1" applyBorder="1" applyAlignment="1">
      <alignment horizontal="center" vertical="center" wrapText="1"/>
    </xf>
    <xf numFmtId="0" fontId="27" fillId="10" borderId="19" xfId="0" applyFont="1" applyFill="1" applyBorder="1" applyAlignment="1">
      <alignment horizontal="center" textRotation="255" wrapText="1"/>
    </xf>
    <xf numFmtId="0" fontId="27" fillId="10" borderId="24" xfId="0" applyFont="1" applyFill="1" applyBorder="1" applyAlignment="1">
      <alignment horizontal="center" textRotation="255" wrapText="1"/>
    </xf>
    <xf numFmtId="0" fontId="27" fillId="10" borderId="34" xfId="0" applyFont="1" applyFill="1" applyBorder="1" applyAlignment="1">
      <alignment horizontal="center" textRotation="255"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0" fillId="21" borderId="81" xfId="0" applyFill="1" applyBorder="1" applyAlignment="1">
      <alignment horizontal="left" vertical="top" wrapText="1"/>
    </xf>
    <xf numFmtId="0" fontId="0" fillId="21" borderId="82" xfId="0" applyFill="1" applyBorder="1" applyAlignment="1">
      <alignment horizontal="left" vertical="top" wrapText="1"/>
    </xf>
    <xf numFmtId="0" fontId="0" fillId="21" borderId="83" xfId="0" applyFill="1" applyBorder="1" applyAlignment="1">
      <alignment horizontal="left" vertical="top" wrapText="1"/>
    </xf>
    <xf numFmtId="0" fontId="27" fillId="2" borderId="19" xfId="0" applyFont="1" applyFill="1" applyBorder="1" applyAlignment="1">
      <alignment horizontal="center" textRotation="255" wrapText="1"/>
    </xf>
    <xf numFmtId="0" fontId="27" fillId="2" borderId="24" xfId="0" applyFont="1" applyFill="1" applyBorder="1" applyAlignment="1">
      <alignment horizontal="center" textRotation="255" wrapText="1"/>
    </xf>
    <xf numFmtId="0" fontId="27" fillId="2" borderId="34" xfId="0" applyFont="1" applyFill="1" applyBorder="1" applyAlignment="1">
      <alignment horizontal="center" textRotation="255" wrapText="1"/>
    </xf>
    <xf numFmtId="0" fontId="27" fillId="19" borderId="19" xfId="0" applyFont="1" applyFill="1" applyBorder="1" applyAlignment="1">
      <alignment horizontal="center" textRotation="255" wrapText="1"/>
    </xf>
    <xf numFmtId="0" fontId="27" fillId="19" borderId="24" xfId="0" applyFont="1" applyFill="1" applyBorder="1" applyAlignment="1">
      <alignment horizontal="center" textRotation="255" wrapText="1"/>
    </xf>
    <xf numFmtId="0" fontId="27" fillId="19" borderId="34" xfId="0" applyFont="1" applyFill="1" applyBorder="1" applyAlignment="1">
      <alignment horizontal="center" textRotation="255" wrapText="1"/>
    </xf>
    <xf numFmtId="0" fontId="6" fillId="8" borderId="7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9" xfId="0" applyFont="1" applyFill="1" applyBorder="1" applyAlignment="1">
      <alignment horizontal="center" vertical="center" wrapText="1"/>
    </xf>
    <xf numFmtId="0" fontId="6" fillId="8" borderId="76"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6" fillId="8" borderId="80"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10" borderId="85" xfId="0" applyFont="1" applyFill="1" applyBorder="1" applyAlignment="1">
      <alignment horizontal="center" vertical="center" wrapText="1"/>
    </xf>
    <xf numFmtId="0" fontId="19" fillId="10" borderId="18" xfId="0" applyFont="1" applyFill="1" applyBorder="1" applyAlignment="1">
      <alignment horizontal="center" vertical="center" wrapText="1"/>
    </xf>
  </cellXfs>
  <cellStyles count="2">
    <cellStyle name="Normal" xfId="0" builtinId="0"/>
    <cellStyle name="Porcentaje" xfId="1" builtinId="5"/>
  </cellStyles>
  <dxfs count="37">
    <dxf>
      <numFmt numFmtId="4" formatCode="#,##0.00"/>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font>
        <b/>
        <i val="0"/>
        <strike val="0"/>
        <condense val="0"/>
        <extend val="0"/>
        <outline val="0"/>
        <shadow val="0"/>
        <u val="none"/>
        <vertAlign val="baseline"/>
        <sz val="11"/>
        <color auto="1"/>
        <name val="Calibri"/>
        <family val="2"/>
        <scheme val="minor"/>
      </font>
      <fill>
        <patternFill patternType="solid">
          <fgColor theme="8"/>
          <bgColor theme="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Trebuchet MS"/>
        <family val="2"/>
        <scheme val="none"/>
      </font>
      <numFmt numFmtId="164" formatCode="#,##0.000"/>
      <alignment horizontal="center" vertical="center" textRotation="0" wrapText="0" indent="0" justifyLastLine="0" shrinkToFit="0" readingOrder="0"/>
      <border diagonalUp="0" diagonalDown="0">
        <left style="thin">
          <color theme="8" tint="0.59996337778862885"/>
        </left>
        <right style="thin">
          <color theme="8" tint="0.59996337778862885"/>
        </right>
        <top style="thin">
          <color theme="8" tint="0.59996337778862885"/>
        </top>
        <bottom style="thin">
          <color theme="8" tint="0.59996337778862885"/>
        </bottom>
        <vertical/>
        <horizontal/>
      </border>
    </dxf>
    <dxf>
      <numFmt numFmtId="4" formatCode="#,##0.00"/>
      <fill>
        <patternFill patternType="solid">
          <fgColor theme="8" tint="0.79998168889431442"/>
          <bgColor theme="8" tint="0.79998168889431442"/>
        </patternFill>
      </fill>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numFmt numFmtId="4" formatCode="#,##0.00"/>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numFmt numFmtId="4" formatCode="#,##0.00"/>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numFmt numFmtId="4" formatCode="#,##0.00"/>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font>
        <b val="0"/>
        <i val="0"/>
        <strike val="0"/>
        <condense val="0"/>
        <extend val="0"/>
        <outline val="0"/>
        <shadow val="0"/>
        <u val="none"/>
        <vertAlign val="baseline"/>
        <sz val="11"/>
        <color theme="0" tint="-0.499984740745262"/>
        <name val="Calibri"/>
        <family val="2"/>
        <scheme val="minor"/>
      </font>
      <numFmt numFmtId="4" formatCode="#,##0.00"/>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font>
        <b val="0"/>
        <i val="0"/>
        <strike val="0"/>
        <condense val="0"/>
        <extend val="0"/>
        <outline val="0"/>
        <shadow val="0"/>
        <u val="none"/>
        <vertAlign val="baseline"/>
        <sz val="11"/>
        <color theme="0" tint="-0.499984740745262"/>
        <name val="Calibri"/>
        <family val="2"/>
        <scheme val="minor"/>
      </font>
      <numFmt numFmtId="4" formatCode="#,##0.00"/>
      <border diagonalUp="0" diagonalDown="0">
        <left style="thin">
          <color theme="8" tint="0.39994506668294322"/>
        </left>
        <right style="thin">
          <color theme="8" tint="0.39994506668294322"/>
        </right>
        <top style="thin">
          <color theme="8" tint="0.39994506668294322"/>
        </top>
        <bottom style="thin">
          <color theme="8" tint="0.39994506668294322"/>
        </bottom>
        <vertical/>
        <horizontal/>
      </border>
    </dxf>
    <dxf>
      <fill>
        <patternFill patternType="solid">
          <fgColor theme="8" tint="0.79998168889431442"/>
          <bgColor theme="8" tint="0.79998168889431442"/>
        </patternFill>
      </fill>
      <border diagonalUp="0" diagonalDown="0">
        <left/>
        <right style="thin">
          <color theme="8" tint="0.39994506668294322"/>
        </right>
        <top style="thin">
          <color theme="8" tint="0.39994506668294322"/>
        </top>
        <bottom style="thin">
          <color theme="8" tint="0.39994506668294322"/>
        </bottom>
        <vertical/>
        <horizontal/>
      </border>
    </dxf>
    <dxf>
      <fill>
        <patternFill patternType="solid">
          <fgColor theme="8" tint="0.79998168889431442"/>
          <bgColor theme="8" tint="0.79998168889431442"/>
        </patternFill>
      </fill>
      <border diagonalUp="0" diagonalDown="0">
        <left/>
        <right/>
        <top style="thin">
          <color theme="8" tint="0.39994506668294322"/>
        </top>
        <bottom style="thin">
          <color theme="8" tint="0.39994506668294322"/>
        </bottom>
        <vertical/>
        <horizontal/>
      </border>
    </dxf>
    <dxf>
      <border outline="0">
        <left style="thin">
          <color theme="8" tint="0.39994506668294322"/>
        </left>
      </border>
    </dxf>
    <dxf>
      <font>
        <b/>
        <i val="0"/>
        <strike val="0"/>
        <condense val="0"/>
        <extend val="0"/>
        <outline val="0"/>
        <shadow val="0"/>
        <u val="none"/>
        <vertAlign val="baseline"/>
        <sz val="11"/>
        <color theme="0"/>
        <name val="Calibri"/>
        <family val="2"/>
        <scheme val="minor"/>
      </font>
      <fill>
        <patternFill patternType="solid">
          <fgColor theme="8"/>
          <bgColor theme="4" tint="-0.249977111117893"/>
        </patternFill>
      </fill>
      <alignment horizontal="center" vertical="center" textRotation="0" wrapText="1" indent="0" justifyLastLine="0" shrinkToFit="0" readingOrder="0"/>
    </dxf>
    <dxf>
      <font>
        <color rgb="FF0070C0"/>
      </font>
    </dxf>
    <dxf>
      <font>
        <color rgb="FFFF0000"/>
      </font>
    </dxf>
    <dxf>
      <font>
        <color rgb="FFFF0000"/>
      </font>
    </dxf>
    <dxf>
      <font>
        <strike val="0"/>
        <color rgb="FFFF0000"/>
      </font>
    </dxf>
    <dxf>
      <font>
        <color rgb="FF0070C0"/>
      </font>
    </dxf>
    <dxf>
      <font>
        <color rgb="FFFF0000"/>
      </font>
    </dxf>
    <dxf>
      <font>
        <color rgb="FFFF0000"/>
      </font>
    </dxf>
    <dxf>
      <font>
        <strike val="0"/>
        <color rgb="FFFF0000"/>
      </font>
    </dxf>
    <dxf>
      <font>
        <color rgb="FF0070C0"/>
      </font>
    </dxf>
    <dxf>
      <font>
        <color rgb="FFFF0000"/>
      </font>
    </dxf>
    <dxf>
      <font>
        <color rgb="FFFF0000"/>
      </font>
    </dxf>
    <dxf>
      <font>
        <strike val="0"/>
        <color rgb="FFFF0000"/>
      </font>
    </dxf>
    <dxf>
      <font>
        <color rgb="FF0070C0"/>
      </font>
    </dxf>
    <dxf>
      <font>
        <color rgb="FFFF0000"/>
      </font>
    </dxf>
    <dxf>
      <font>
        <color rgb="FFFF0000"/>
      </font>
    </dxf>
    <dxf>
      <font>
        <strike val="0"/>
        <color rgb="FFFF0000"/>
      </font>
    </dxf>
    <dxf>
      <font>
        <color rgb="FFC00000"/>
      </font>
      <fill>
        <patternFill>
          <bgColor rgb="FFFFC7CE"/>
        </patternFill>
      </fill>
    </dxf>
    <dxf>
      <font>
        <color rgb="FF9C0006"/>
      </font>
      <fill>
        <patternFill>
          <bgColor rgb="FFFFC7CE"/>
        </patternFill>
      </fill>
    </dxf>
    <dxf>
      <font>
        <color rgb="FFC00000"/>
      </font>
      <fill>
        <patternFill>
          <bgColor rgb="FFFFC7CE"/>
        </patternFill>
      </fill>
    </dxf>
    <dxf>
      <font>
        <color rgb="FFC00000"/>
      </font>
      <fill>
        <patternFill>
          <bgColor rgb="FFFFC7CE"/>
        </patternFill>
      </fill>
    </dxf>
    <dxf>
      <font>
        <color rgb="FFC00000"/>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C7CE"/>
        </patternFill>
      </fill>
    </dxf>
  </dxfs>
  <tableStyles count="0" defaultTableStyle="TableStyleMedium2" defaultPivotStyle="PivotStyleLight16"/>
  <colors>
    <mruColors>
      <color rgb="FFFFC7CE"/>
      <color rgb="FFFFBDD3"/>
      <color rgb="FF9BC2E6"/>
      <color rgb="FF9C0006"/>
      <color rgb="FFFFCC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4</xdr:col>
      <xdr:colOff>628650</xdr:colOff>
      <xdr:row>1</xdr:row>
      <xdr:rowOff>133350</xdr:rowOff>
    </xdr:from>
    <xdr:to>
      <xdr:col>8</xdr:col>
      <xdr:colOff>690502</xdr:colOff>
      <xdr:row>5</xdr:row>
      <xdr:rowOff>147066</xdr:rowOff>
    </xdr:to>
    <xdr:pic>
      <xdr:nvPicPr>
        <xdr:cNvPr id="2" name="Imagen 1">
          <a:extLst>
            <a:ext uri="{FF2B5EF4-FFF2-40B4-BE49-F238E27FC236}">
              <a16:creationId xmlns:a16="http://schemas.microsoft.com/office/drawing/2014/main" id="{FE92D771-B4C9-4F6E-AB6C-CF1E1CE5E2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15625" y="323850"/>
          <a:ext cx="3109852" cy="775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559859</xdr:colOff>
      <xdr:row>1</xdr:row>
      <xdr:rowOff>132292</xdr:rowOff>
    </xdr:from>
    <xdr:to>
      <xdr:col>8</xdr:col>
      <xdr:colOff>621711</xdr:colOff>
      <xdr:row>5</xdr:row>
      <xdr:rowOff>146008</xdr:rowOff>
    </xdr:to>
    <xdr:pic>
      <xdr:nvPicPr>
        <xdr:cNvPr id="2" name="Imagen 1">
          <a:extLst>
            <a:ext uri="{FF2B5EF4-FFF2-40B4-BE49-F238E27FC236}">
              <a16:creationId xmlns:a16="http://schemas.microsoft.com/office/drawing/2014/main" id="{A7A6FD61-DFA3-428C-AB94-63CE9CD844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46797" y="334698"/>
          <a:ext cx="3109852" cy="7757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0</xdr:colOff>
      <xdr:row>49</xdr:row>
      <xdr:rowOff>0</xdr:rowOff>
    </xdr:from>
    <xdr:to>
      <xdr:col>20</xdr:col>
      <xdr:colOff>304800</xdr:colOff>
      <xdr:row>50</xdr:row>
      <xdr:rowOff>114300</xdr:rowOff>
    </xdr:to>
    <xdr:sp macro="" textlink="">
      <xdr:nvSpPr>
        <xdr:cNvPr id="2053" name="AutoShape 5">
          <a:extLst>
            <a:ext uri="{FF2B5EF4-FFF2-40B4-BE49-F238E27FC236}">
              <a16:creationId xmlns:a16="http://schemas.microsoft.com/office/drawing/2014/main" id="{30E70E11-9E2C-498D-9D01-0BD541849B38}"/>
            </a:ext>
          </a:extLst>
        </xdr:cNvPr>
        <xdr:cNvSpPr>
          <a:spLocks noChangeAspect="1" noChangeArrowheads="1"/>
        </xdr:cNvSpPr>
      </xdr:nvSpPr>
      <xdr:spPr bwMode="auto">
        <a:xfrm>
          <a:off x="12934950" y="381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863866</xdr:colOff>
      <xdr:row>1</xdr:row>
      <xdr:rowOff>140839</xdr:rowOff>
    </xdr:from>
    <xdr:to>
      <xdr:col>12</xdr:col>
      <xdr:colOff>717808</xdr:colOff>
      <xdr:row>5</xdr:row>
      <xdr:rowOff>154555</xdr:rowOff>
    </xdr:to>
    <xdr:pic>
      <xdr:nvPicPr>
        <xdr:cNvPr id="5" name="Imagen 4">
          <a:extLst>
            <a:ext uri="{FF2B5EF4-FFF2-40B4-BE49-F238E27FC236}">
              <a16:creationId xmlns:a16="http://schemas.microsoft.com/office/drawing/2014/main" id="{9B2B04B0-4D22-402F-AB0E-22A7EC93C7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02949" y="341922"/>
          <a:ext cx="3109852" cy="77571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ipuzkoatik.sharepoint.com/sites/msteams_d9cb5d/Documentos%20compartidos/General/Txantiloiak/Valoraciones/ValoracionContratosDeriv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eptosValorados"/>
      <sheetName val="Valoración"/>
      <sheetName val="Empresas"/>
    </sheetNames>
    <sheetDataSet>
      <sheetData sheetId="0">
        <row r="12">
          <cell r="A12" t="str">
            <v>No ha presentado oferta</v>
          </cell>
        </row>
        <row r="13">
          <cell r="A13" t="str">
            <v>No ha sido invitado</v>
          </cell>
        </row>
        <row r="14">
          <cell r="A14" t="str">
            <v>Excelente</v>
          </cell>
        </row>
        <row r="15">
          <cell r="A15" t="str">
            <v>Buena</v>
          </cell>
        </row>
        <row r="16">
          <cell r="A16" t="str">
            <v>Media</v>
          </cell>
        </row>
        <row r="17">
          <cell r="A17" t="str">
            <v>Básica</v>
          </cell>
        </row>
        <row r="18">
          <cell r="A18" t="str">
            <v>No se aporta o no corresponde</v>
          </cell>
        </row>
      </sheetData>
      <sheetData sheetId="1"/>
      <sheetData sheetId="2"/>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6650BCDC-2CD3-491B-ACC0-1120D45BC107}" autoFormatId="16" applyNumberFormats="0" applyBorderFormats="0" applyFontFormats="0" applyPatternFormats="0" applyAlignmentFormats="0" applyWidthHeightFormats="0">
  <queryTableRefresh nextId="14">
    <queryTableFields count="13">
      <queryTableField id="1" name="Empresa" tableColumnId="1"/>
      <queryTableField id="2" name="Empresa2" tableColumnId="2"/>
      <queryTableField id="3" name="Importe oferta" tableColumnId="3"/>
      <queryTableField id="4" name="Precio medio" tableColumnId="4"/>
      <queryTableField id="5" name="Medios humanos" tableColumnId="5"/>
      <queryTableField id="6" name="Precio" tableColumnId="6"/>
      <queryTableField id="7" name="Puntuación homologación" tableColumnId="7"/>
      <queryTableField id="8" name="Memoria técnica  (Máximo 10)" tableColumnId="8"/>
      <queryTableField id="9" name="TOTAL" tableColumnId="9"/>
      <queryTableField id="10" name="Columna3" tableColumnId="10"/>
      <queryTableField id="11" name="Incidencias en ofertas" tableColumnId="11"/>
      <queryTableField id="12" name="Ordenacion" tableColumnId="12"/>
      <queryTableField id="13" name="Observaciones" tableColumnId="13"/>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63C445D-8918-4BEE-A467-90307FBC87AE}" name="Tabla1" displayName="Tabla1" ref="C48:M56" totalsRowShown="0" headerRowDxfId="12" tableBorderDxfId="11">
  <autoFilter ref="C48:M56" xr:uid="{C63C445D-8918-4BEE-A467-90307FBC87AE}"/>
  <tableColumns count="11">
    <tableColumn id="1" xr3:uid="{8ACFA2B9-B393-4B4C-9A0D-0666E98C3914}" name="Empresa" dataDxfId="10">
      <calculatedColumnFormula>IFERROR(VLOOKUP(CONCATENATE($F$5,"_",B49),Homologación!$A:$C,2,FALSE),"")</calculatedColumnFormula>
    </tableColumn>
    <tableColumn id="2" xr3:uid="{2F4D856C-69D7-4316-83B2-6ADAB9DFBE4B}" name="Empresa2" dataDxfId="9">
      <calculatedColumnFormula>IFERROR(IF(VLOOKUP(L49,Homologación!N:P,3,FALSE)&lt;&gt;0,VLOOKUP(L49,Homologación!N:P,3,FALSE),""),"")</calculatedColumnFormula>
    </tableColumn>
    <tableColumn id="3" xr3:uid="{D4DF1031-1F8B-4C63-B376-B65B5C7003E0}" name="Importe oferta" dataDxfId="8">
      <calculatedColumnFormula array="1">IFERROR(INDIRECT(C49&amp;"!B27"),"")</calculatedColumnFormula>
    </tableColumn>
    <tableColumn id="4" xr3:uid="{B31841D7-D1DD-4339-B8B1-6C473927C7FD}" name="Precio medio" dataDxfId="7">
      <calculatedColumnFormula array="1">IF($E$9=Precio_hora,IFERROR(INDIRECT(C49&amp;"!D37"),""),"")</calculatedColumnFormula>
    </tableColumn>
    <tableColumn id="5" xr3:uid="{F7360D6F-08C0-46E0-866C-0485327716A6}" name="Medios humanos" dataDxfId="6">
      <calculatedColumnFormula array="1">IF(C49="","",IF($E$13=0,0,IF(ISREF(INDIRECT(C49&amp;"!AE3")),INDIRECT(C49&amp;"!AN3"),"")))</calculatedColumnFormula>
    </tableColumn>
    <tableColumn id="6" xr3:uid="{8802A4A5-9B1D-4149-ABFB-0A4D795CADBD}" name="Precio" dataDxfId="5">
      <calculatedColumnFormula array="1">IFERROR(IF(INDIRECT(C49&amp;"!B27")&gt;$E$8,"Supera",S49),"")</calculatedColumnFormula>
    </tableColumn>
    <tableColumn id="7" xr3:uid="{7741A398-451D-43F9-B55E-5CC268F01855}" name="Puntuación homologación" dataDxfId="4">
      <calculatedColumnFormula>IF(C49="","",IF($E$15=0,"",IFERROR(IF(E49&lt;&gt;"",VLOOKUP(CONCATENATE(C49,$F$5),Homologación!$N:$O,2,FALSE),""),"")))</calculatedColumnFormula>
    </tableColumn>
    <tableColumn id="8" xr3:uid="{D7D22130-DF35-470F-AE95-0E1BB32A5EBD}" name="Memoria técnica  (Máximo 10)" dataDxfId="3"/>
    <tableColumn id="9" xr3:uid="{FC982FD4-682D-450C-98A9-5D9C7672567C}" name="TOTAL" dataDxfId="2">
      <calculatedColumnFormula>IF(C49="","",IF(H49="Supera",H49,IFERROR(G49*$E$13,0)+IFERROR(H49*$E$14,0)+IFERROR(I49*$E$15,0)+IFERROR(J49*$E$16,0)))</calculatedColumnFormula>
    </tableColumn>
    <tableColumn id="10" xr3:uid="{BAEB05C9-75F7-4D6A-A8C9-F7BFD623BE57}" name="Columna3" dataDxfId="1">
      <calculatedColumnFormula>CONCATENATE(C49,$F$5)</calculatedColumnFormula>
    </tableColumn>
    <tableColumn id="11" xr3:uid="{53B5D9D3-AAA5-4027-B974-B29C00B831F7}" name="Incidencias en ofertas" dataDxfId="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28499C9-E19B-444E-B148-5AA88AB61824}" name="GenerarResolucion" displayName="GenerarResolucion" ref="B2:N10" tableType="queryTable" totalsRowShown="0">
  <autoFilter ref="B2:N10" xr:uid="{428499C9-E19B-444E-B148-5AA88AB61824}"/>
  <tableColumns count="13">
    <tableColumn id="1" xr3:uid="{5C880180-8276-422B-BA8E-FEA8EFC27BF4}" uniqueName="1" name="Empresa" queryTableFieldId="1"/>
    <tableColumn id="2" xr3:uid="{CB392FCE-E1BF-49C9-B324-86CF574D42DA}" uniqueName="2" name="Empresa2" queryTableFieldId="2"/>
    <tableColumn id="3" xr3:uid="{23513264-6734-448E-A692-B3781554B560}" uniqueName="3" name="Importe oferta" queryTableFieldId="3"/>
    <tableColumn id="4" xr3:uid="{B7B6E002-948A-4818-A04A-FF04DA4E740B}" uniqueName="4" name="Precio medio" queryTableFieldId="4"/>
    <tableColumn id="5" xr3:uid="{690BF06C-BB8B-4D62-B377-D26F9AAC5BD7}" uniqueName="5" name="Medios humanos" queryTableFieldId="5"/>
    <tableColumn id="6" xr3:uid="{A4F567B9-0449-4883-8E29-F1A4FEBF902B}" uniqueName="6" name="Precio" queryTableFieldId="6"/>
    <tableColumn id="7" xr3:uid="{CBA87459-D90B-4930-8F4B-B11E8393A4FD}" uniqueName="7" name="Puntuación homologación" queryTableFieldId="7"/>
    <tableColumn id="8" xr3:uid="{7B9A04DC-9958-4FC3-AAC1-9FB35A36AC41}" uniqueName="8" name="Memoria técnica  (Máximo 10)" queryTableFieldId="8"/>
    <tableColumn id="9" xr3:uid="{2B675D67-7354-4C37-B333-62EB6C598C75}" uniqueName="9" name="TOTAL" queryTableFieldId="9"/>
    <tableColumn id="10" xr3:uid="{008781BD-9E77-43D7-8759-022DA544B1F1}" uniqueName="10" name="Columna3" queryTableFieldId="10"/>
    <tableColumn id="11" xr3:uid="{096269F0-2665-464C-82AF-F4C17DA738B5}" uniqueName="11" name="Incidencias en ofertas" queryTableFieldId="11"/>
    <tableColumn id="12" xr3:uid="{AF263E8C-6C7A-413C-A5F7-F4DF05183D43}" uniqueName="12" name="Ordenacion" queryTableFieldId="12"/>
    <tableColumn id="13" xr3:uid="{76A4D16F-C5F3-4E5F-827D-4B08007AB9CE}" uniqueName="13" name="Observaciones" queryTableFieldId="13"/>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DB567-F4E0-48B0-ADB0-A477DBF8F58D}">
  <sheetPr codeName="Hoja6">
    <pageSetUpPr fitToPage="1"/>
  </sheetPr>
  <dimension ref="A1:J33"/>
  <sheetViews>
    <sheetView zoomScale="80" zoomScaleNormal="80" workbookViewId="0">
      <selection activeCell="B29" sqref="B29"/>
    </sheetView>
  </sheetViews>
  <sheetFormatPr baseColWidth="10" defaultColWidth="11.44140625" defaultRowHeight="14.4" x14ac:dyDescent="0.3"/>
  <cols>
    <col min="1" max="1" width="4.6640625" style="16" customWidth="1"/>
    <col min="2" max="2" width="11.44140625" style="174"/>
    <col min="3" max="3" width="123.6640625" style="16" customWidth="1"/>
    <col min="4" max="16384" width="11.44140625" style="16"/>
  </cols>
  <sheetData>
    <row r="1" spans="1:10" ht="15" customHeight="1" thickBot="1" x14ac:dyDescent="0.35">
      <c r="B1" s="165"/>
      <c r="C1" s="19"/>
      <c r="D1" s="19"/>
      <c r="E1" s="19"/>
      <c r="F1" s="19"/>
      <c r="G1" s="19"/>
      <c r="H1" s="19"/>
      <c r="I1" s="19"/>
    </row>
    <row r="2" spans="1:10" ht="15" customHeight="1" x14ac:dyDescent="0.3">
      <c r="A2" s="18"/>
      <c r="B2" s="166"/>
      <c r="C2" s="65"/>
      <c r="D2" s="66"/>
      <c r="E2" s="66"/>
      <c r="F2" s="66"/>
      <c r="G2" s="66"/>
      <c r="H2" s="66"/>
      <c r="I2" s="67"/>
      <c r="J2" s="47"/>
    </row>
    <row r="3" spans="1:10" ht="15" customHeight="1" x14ac:dyDescent="0.3">
      <c r="A3" s="18"/>
      <c r="B3" s="167"/>
      <c r="C3" s="64" t="s">
        <v>0</v>
      </c>
      <c r="I3" s="68"/>
      <c r="J3" s="47"/>
    </row>
    <row r="4" spans="1:10" ht="15" customHeight="1" x14ac:dyDescent="0.3">
      <c r="A4" s="18"/>
      <c r="B4" s="167">
        <v>1</v>
      </c>
      <c r="C4" s="59" t="s">
        <v>1</v>
      </c>
      <c r="I4" s="68"/>
      <c r="J4" s="47"/>
    </row>
    <row r="5" spans="1:10" ht="15" customHeight="1" x14ac:dyDescent="0.3">
      <c r="A5" s="18"/>
      <c r="B5" s="168" t="s">
        <v>2</v>
      </c>
      <c r="C5" s="60" t="s">
        <v>3</v>
      </c>
      <c r="D5" s="19"/>
      <c r="E5" s="47"/>
      <c r="I5" s="68"/>
      <c r="J5" s="47"/>
    </row>
    <row r="6" spans="1:10" ht="15" customHeight="1" x14ac:dyDescent="0.3">
      <c r="A6" s="18"/>
      <c r="B6" s="167"/>
      <c r="C6" s="74" t="s">
        <v>4</v>
      </c>
      <c r="D6" s="73"/>
      <c r="I6" s="68"/>
      <c r="J6" s="47"/>
    </row>
    <row r="7" spans="1:10" ht="15" customHeight="1" x14ac:dyDescent="0.3">
      <c r="A7" s="18"/>
      <c r="B7" s="167"/>
      <c r="C7" s="59" t="str">
        <f>IF('Criterios de adjudicación'!D6&gt;0,"El contenido y alcance de la memoria técnica se detalla en el documento de bases técnicas.","La oferta no requiere de memoria técnica")</f>
        <v>El contenido y alcance de la memoria técnica se detalla en el documento de bases técnicas.</v>
      </c>
      <c r="D7" s="19"/>
      <c r="I7" s="68"/>
      <c r="J7" s="47"/>
    </row>
    <row r="8" spans="1:10" ht="15" customHeight="1" x14ac:dyDescent="0.3">
      <c r="A8" s="18"/>
      <c r="B8" s="167"/>
      <c r="C8" s="59"/>
      <c r="D8" s="19"/>
      <c r="I8" s="68"/>
      <c r="J8" s="47"/>
    </row>
    <row r="9" spans="1:10" ht="57.6" x14ac:dyDescent="0.3">
      <c r="A9" s="18"/>
      <c r="B9" s="167"/>
      <c r="C9" s="125" t="s">
        <v>5</v>
      </c>
      <c r="D9" s="19"/>
      <c r="I9" s="68"/>
      <c r="J9" s="47"/>
    </row>
    <row r="10" spans="1:10" ht="15" customHeight="1" x14ac:dyDescent="0.3">
      <c r="A10" s="18"/>
      <c r="B10" s="167"/>
      <c r="C10" s="59"/>
      <c r="D10" s="19"/>
      <c r="I10" s="68"/>
      <c r="J10" s="47"/>
    </row>
    <row r="11" spans="1:10" ht="15" customHeight="1" x14ac:dyDescent="0.3">
      <c r="A11" s="18"/>
      <c r="B11" s="169">
        <v>2</v>
      </c>
      <c r="C11" s="60" t="s">
        <v>6</v>
      </c>
      <c r="D11" s="19"/>
      <c r="I11" s="68"/>
      <c r="J11" s="47"/>
    </row>
    <row r="12" spans="1:10" ht="15" customHeight="1" x14ac:dyDescent="0.3">
      <c r="A12" s="18"/>
      <c r="B12" s="168" t="s">
        <v>7</v>
      </c>
      <c r="C12" s="61" t="s">
        <v>8</v>
      </c>
      <c r="D12" s="19"/>
      <c r="I12" s="68"/>
      <c r="J12" s="47"/>
    </row>
    <row r="13" spans="1:10" x14ac:dyDescent="0.3">
      <c r="A13" s="18"/>
      <c r="B13" s="167"/>
      <c r="C13" s="48" t="s">
        <v>9</v>
      </c>
      <c r="D13" s="19"/>
      <c r="I13" s="68"/>
      <c r="J13" s="47"/>
    </row>
    <row r="14" spans="1:10" x14ac:dyDescent="0.3">
      <c r="A14" s="18"/>
      <c r="B14" s="167"/>
      <c r="C14" s="62"/>
      <c r="D14" s="19"/>
      <c r="I14" s="68"/>
      <c r="J14" s="47"/>
    </row>
    <row r="15" spans="1:10" ht="41.25" customHeight="1" x14ac:dyDescent="0.3">
      <c r="A15" s="18"/>
      <c r="B15" s="167"/>
      <c r="C15" s="48" t="s">
        <v>10</v>
      </c>
      <c r="D15" s="19"/>
      <c r="I15" s="68"/>
      <c r="J15" s="47"/>
    </row>
    <row r="16" spans="1:10" ht="15" customHeight="1" x14ac:dyDescent="0.3">
      <c r="A16" s="18"/>
      <c r="B16" s="167"/>
      <c r="C16" s="59"/>
      <c r="D16" s="19"/>
      <c r="I16" s="68"/>
      <c r="J16" s="47"/>
    </row>
    <row r="17" spans="1:10" ht="28.8" x14ac:dyDescent="0.3">
      <c r="A17" s="18"/>
      <c r="B17" s="167"/>
      <c r="C17" s="17" t="s">
        <v>11</v>
      </c>
      <c r="I17" s="68"/>
      <c r="J17" s="47"/>
    </row>
    <row r="18" spans="1:10" x14ac:dyDescent="0.3">
      <c r="A18" s="18"/>
      <c r="B18" s="167"/>
      <c r="C18" s="17"/>
      <c r="I18" s="68"/>
      <c r="J18" s="47"/>
    </row>
    <row r="19" spans="1:10" ht="43.2" x14ac:dyDescent="0.3">
      <c r="A19" s="18"/>
      <c r="B19" s="167"/>
      <c r="C19" s="17" t="str">
        <f>CONCATENATE("Se podrán considerar ", "ofertas anormales aquellas ofertas (considerándose, a estos efectos, como oferta el sumatorio de los importes resultantes de multiplicar los precios unitarios ofertados por un licitador por su ponderación correspondiente) que sean inferiores en más de un ",BajaDesproporcionada*100,"% a la media de todas las ofertas presentadas.")</f>
        <v>Se podrán considerar ofertas anormales aquellas ofertas (considerándose, a estos efectos, como oferta el sumatorio de los importes resultantes de multiplicar los precios unitarios ofertados por un licitador por su ponderación correspondiente) que sean inferiores en más de un 20% a la media de todas las ofertas presentadas.</v>
      </c>
      <c r="I19" s="68"/>
      <c r="J19" s="47"/>
    </row>
    <row r="20" spans="1:10" x14ac:dyDescent="0.3">
      <c r="A20" s="18"/>
      <c r="B20" s="167"/>
      <c r="C20" s="128"/>
      <c r="D20"/>
      <c r="I20" s="68"/>
      <c r="J20" s="47"/>
    </row>
    <row r="21" spans="1:10" hidden="1" x14ac:dyDescent="0.3">
      <c r="A21" s="18"/>
      <c r="B21" s="168" t="s">
        <v>12</v>
      </c>
      <c r="C21" s="74" t="s">
        <v>13</v>
      </c>
      <c r="D21" s="19"/>
      <c r="I21" s="68"/>
      <c r="J21" s="47"/>
    </row>
    <row r="22" spans="1:10" hidden="1" x14ac:dyDescent="0.3">
      <c r="A22" s="18"/>
      <c r="B22" s="168"/>
      <c r="C22" s="69"/>
      <c r="D22" s="19"/>
      <c r="I22" s="68"/>
      <c r="J22" s="47"/>
    </row>
    <row r="23" spans="1:10" ht="28.8" hidden="1" x14ac:dyDescent="0.3">
      <c r="A23" s="18"/>
      <c r="B23" s="167"/>
      <c r="C23" s="17" t="s">
        <v>14</v>
      </c>
      <c r="D23" s="19"/>
      <c r="I23" s="68"/>
      <c r="J23" s="47"/>
    </row>
    <row r="24" spans="1:10" hidden="1" x14ac:dyDescent="0.3">
      <c r="A24" s="18"/>
      <c r="B24" s="167"/>
      <c r="C24" s="63"/>
      <c r="D24" s="19"/>
      <c r="I24" s="68"/>
      <c r="J24" s="47"/>
    </row>
    <row r="25" spans="1:10" hidden="1" x14ac:dyDescent="0.3">
      <c r="A25" s="18"/>
      <c r="B25" s="167"/>
      <c r="C25" s="48" t="s">
        <v>15</v>
      </c>
      <c r="D25" s="19"/>
      <c r="I25" s="68"/>
      <c r="J25" s="47"/>
    </row>
    <row r="26" spans="1:10" hidden="1" x14ac:dyDescent="0.3">
      <c r="A26" s="18"/>
      <c r="B26" s="167"/>
      <c r="C26" s="75"/>
      <c r="D26" s="19"/>
      <c r="I26" s="68"/>
      <c r="J26" s="47"/>
    </row>
    <row r="27" spans="1:10" hidden="1" x14ac:dyDescent="0.3">
      <c r="A27" s="18"/>
      <c r="B27" s="167"/>
      <c r="C27" s="76"/>
      <c r="D27" s="19"/>
      <c r="I27" s="68"/>
      <c r="J27" s="47"/>
    </row>
    <row r="28" spans="1:10" hidden="1" x14ac:dyDescent="0.3">
      <c r="A28" s="18"/>
      <c r="B28" s="167"/>
      <c r="D28" s="19"/>
      <c r="I28" s="68"/>
      <c r="J28" s="47"/>
    </row>
    <row r="29" spans="1:10" x14ac:dyDescent="0.3">
      <c r="A29" s="18"/>
      <c r="B29" s="170" t="s">
        <v>12</v>
      </c>
      <c r="C29" s="74" t="s">
        <v>16</v>
      </c>
      <c r="D29" s="19"/>
      <c r="I29" s="68"/>
      <c r="J29" s="47"/>
    </row>
    <row r="30" spans="1:10" ht="43.2" x14ac:dyDescent="0.3">
      <c r="A30" s="18"/>
      <c r="B30" s="167"/>
      <c r="C30" s="48" t="s">
        <v>17</v>
      </c>
      <c r="D30" s="19"/>
      <c r="I30" s="68"/>
      <c r="J30" s="47"/>
    </row>
    <row r="31" spans="1:10" ht="15" customHeight="1" x14ac:dyDescent="0.3">
      <c r="A31" s="18"/>
      <c r="B31" s="171"/>
      <c r="C31" s="59"/>
      <c r="D31" s="47"/>
      <c r="I31" s="68"/>
      <c r="J31" s="47"/>
    </row>
    <row r="32" spans="1:10" ht="15" customHeight="1" thickBot="1" x14ac:dyDescent="0.35">
      <c r="A32" s="18"/>
      <c r="B32" s="172"/>
      <c r="C32" s="70"/>
      <c r="D32" s="71"/>
      <c r="E32" s="71"/>
      <c r="F32" s="71"/>
      <c r="G32" s="71"/>
      <c r="H32" s="71"/>
      <c r="I32" s="72"/>
      <c r="J32" s="47"/>
    </row>
    <row r="33" spans="2:9" x14ac:dyDescent="0.3">
      <c r="B33" s="173"/>
      <c r="C33" s="20"/>
      <c r="D33" s="20"/>
      <c r="E33" s="20"/>
      <c r="F33" s="20"/>
      <c r="G33" s="20"/>
      <c r="H33" s="20"/>
      <c r="I33" s="20"/>
    </row>
  </sheetData>
  <sheetProtection algorithmName="SHA-512" hashValue="HVxnhNbDf6r+L/XjAV3j+DkVmDZ4XaMn0nwVJnDb998hGOgVTyBcOIEh8e4UkzpNDMlQ1bJ3Z1UwVJOqbU64Lw==" saltValue="SzcRTvRGAvfmsj9vK6iqCA==" spinCount="100000" sheet="1" selectLockedCells="1" selectUnlockedCells="1"/>
  <pageMargins left="0.7" right="0.7" top="0.75" bottom="0.75" header="0.3" footer="0.3"/>
  <pageSetup paperSize="9" scale="62" orientation="landscape" r:id="rId1"/>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78178-66AA-4998-BA1D-60C4B52C72AC}">
  <sheetPr codeName="Hoja1">
    <pageSetUpPr fitToPage="1"/>
  </sheetPr>
  <dimension ref="A1:J58"/>
  <sheetViews>
    <sheetView showGridLines="0" zoomScale="80" zoomScaleNormal="80" workbookViewId="0">
      <selection activeCell="B33" sqref="B33"/>
    </sheetView>
  </sheetViews>
  <sheetFormatPr baseColWidth="10" defaultColWidth="11.44140625" defaultRowHeight="14.4" x14ac:dyDescent="0.3"/>
  <cols>
    <col min="1" max="1" width="4.6640625" style="16" customWidth="1"/>
    <col min="2" max="2" width="11.44140625" style="174"/>
    <col min="3" max="3" width="119.33203125" style="16" customWidth="1"/>
    <col min="4" max="16384" width="11.44140625" style="16"/>
  </cols>
  <sheetData>
    <row r="1" spans="1:10" ht="15" thickBot="1" x14ac:dyDescent="0.35">
      <c r="B1" s="165"/>
      <c r="C1" s="19"/>
      <c r="D1" s="19"/>
      <c r="E1" s="19"/>
      <c r="F1" s="19"/>
      <c r="G1" s="19"/>
      <c r="H1" s="19"/>
      <c r="I1" s="19"/>
    </row>
    <row r="2" spans="1:10" x14ac:dyDescent="0.3">
      <c r="A2" s="18"/>
      <c r="B2" s="182"/>
      <c r="C2" s="183"/>
      <c r="D2" s="183"/>
      <c r="E2" s="183"/>
      <c r="F2" s="183"/>
      <c r="G2" s="183"/>
      <c r="H2" s="183"/>
      <c r="I2" s="184"/>
      <c r="J2" s="47"/>
    </row>
    <row r="3" spans="1:10" x14ac:dyDescent="0.3">
      <c r="A3" s="18"/>
      <c r="B3" s="185"/>
      <c r="C3" s="186" t="s">
        <v>18</v>
      </c>
      <c r="D3" s="20"/>
      <c r="E3" s="20"/>
      <c r="F3" s="20"/>
      <c r="G3" s="20"/>
      <c r="H3" s="20"/>
      <c r="I3" s="187"/>
      <c r="J3" s="47"/>
    </row>
    <row r="4" spans="1:10" x14ac:dyDescent="0.3">
      <c r="A4" s="18"/>
      <c r="B4" s="167"/>
      <c r="C4" s="16" t="s">
        <v>19</v>
      </c>
      <c r="I4" s="68"/>
      <c r="J4" s="47"/>
    </row>
    <row r="5" spans="1:10" x14ac:dyDescent="0.3">
      <c r="A5" s="18"/>
      <c r="B5" s="167">
        <v>1</v>
      </c>
      <c r="C5" s="15" t="s">
        <v>20</v>
      </c>
      <c r="I5" s="68"/>
      <c r="J5" s="47"/>
    </row>
    <row r="6" spans="1:10" x14ac:dyDescent="0.3">
      <c r="A6" s="18"/>
      <c r="B6" s="168" t="s">
        <v>2</v>
      </c>
      <c r="C6" s="188" t="s">
        <v>21</v>
      </c>
      <c r="D6" s="189">
        <f>'Resumen global'!E16</f>
        <v>0.49</v>
      </c>
      <c r="I6" s="68"/>
      <c r="J6" s="47"/>
    </row>
    <row r="7" spans="1:10" x14ac:dyDescent="0.3">
      <c r="A7" s="18"/>
      <c r="B7" s="167"/>
      <c r="C7" s="16" t="s">
        <v>22</v>
      </c>
      <c r="I7" s="68"/>
      <c r="J7" s="47"/>
    </row>
    <row r="8" spans="1:10" x14ac:dyDescent="0.3">
      <c r="A8" s="18"/>
      <c r="B8" s="167"/>
      <c r="I8" s="68"/>
      <c r="J8" s="47"/>
    </row>
    <row r="9" spans="1:10" x14ac:dyDescent="0.3">
      <c r="A9" s="18"/>
      <c r="B9" s="169">
        <v>2</v>
      </c>
      <c r="C9" s="15" t="s">
        <v>23</v>
      </c>
      <c r="D9" s="190"/>
      <c r="I9" s="68"/>
      <c r="J9" s="47"/>
    </row>
    <row r="10" spans="1:10" x14ac:dyDescent="0.3">
      <c r="A10" s="18"/>
      <c r="B10" s="168" t="s">
        <v>7</v>
      </c>
      <c r="C10" s="191" t="s">
        <v>24</v>
      </c>
      <c r="D10" s="189">
        <f>'Resumen global'!E14</f>
        <v>0.2</v>
      </c>
      <c r="I10" s="68"/>
      <c r="J10" s="47"/>
    </row>
    <row r="11" spans="1:10" x14ac:dyDescent="0.3">
      <c r="A11" s="18"/>
      <c r="B11" s="167"/>
      <c r="C11" s="16" t="s">
        <v>25</v>
      </c>
      <c r="I11" s="68"/>
      <c r="J11" s="47"/>
    </row>
    <row r="12" spans="1:10" ht="19.5" customHeight="1" x14ac:dyDescent="0.3">
      <c r="A12" s="18"/>
      <c r="B12" s="167"/>
      <c r="C12" s="192" t="str">
        <f>IF('Resumen global'!E9 =Precio_oferta,CONCATENATE('Resumen global'!E9,": Únicamente se tendrá en cuenta el precio global de la oferta."),CONCATENATE('Resumen global'!E9,":  Únicamente se tendrán en cuenta los precios/hora de los perfiles demandados"))</f>
        <v>Precio hora:  Únicamente se tendrán en cuenta los precios/hora de los perfiles demandados</v>
      </c>
      <c r="I12" s="68"/>
      <c r="J12" s="47"/>
    </row>
    <row r="13" spans="1:10" ht="28.8" x14ac:dyDescent="0.3">
      <c r="A13" s="18"/>
      <c r="B13" s="167"/>
      <c r="C13" s="192" t="str">
        <f>"Sobre 10 puntos, se otorgará 0 puntos a la oferta que iguale el precio máximo e incrementando "&amp;PuntosPrecio&amp;" puntos por cada 1% de baja, siendo la puntuación máxima de 10 puntos, salvo que alguna baja supere el "&amp;BAJA_para_otorgar_puntuación_máxima*100&amp;"%, en cuyo caso se le otorgarán 10 puntos y se interpolará el resto. "</f>
        <v xml:space="preserve">Sobre 10 puntos, se otorgará 0 puntos a la oferta que iguale el precio máximo e incrementando 0,2 puntos por cada 1% de baja, siendo la puntuación máxima de 10 puntos, salvo que alguna baja supere el 50%, en cuyo caso se le otorgarán 10 puntos y se interpolará el resto. </v>
      </c>
      <c r="I13" s="68"/>
      <c r="J13" s="47"/>
    </row>
    <row r="14" spans="1:10" x14ac:dyDescent="0.3">
      <c r="A14" s="18"/>
      <c r="B14" s="167"/>
      <c r="C14" s="193" t="str">
        <f>"Para Bmax &lt;= "&amp;BAJA_para_otorgar_puntuación_máxima*100&amp;"% &gt;&gt;&gt; P = "&amp;PuntosPrecio*100&amp;" x B "</f>
        <v xml:space="preserve">Para Bmax &lt;= 50% &gt;&gt;&gt; P = 20 x B </v>
      </c>
      <c r="I14" s="68"/>
      <c r="J14" s="47"/>
    </row>
    <row r="15" spans="1:10" x14ac:dyDescent="0.3">
      <c r="A15" s="18"/>
      <c r="B15" s="167"/>
      <c r="C15" s="193" t="str">
        <f>"Para Bmax &gt; "&amp;BAJA_para_otorgar_puntuación_máxima*100&amp;"%  &gt;&gt;&gt; P = 10 x B/Bmax"</f>
        <v>Para Bmax &gt; 50%  &gt;&gt;&gt; P = 10 x B/Bmax</v>
      </c>
      <c r="I15" s="68"/>
      <c r="J15" s="47"/>
    </row>
    <row r="16" spans="1:10" x14ac:dyDescent="0.3">
      <c r="A16" s="18"/>
      <c r="B16" s="167"/>
      <c r="C16" s="193" t="s">
        <v>26</v>
      </c>
      <c r="I16" s="68"/>
      <c r="J16" s="47"/>
    </row>
    <row r="17" spans="1:10" x14ac:dyDescent="0.3">
      <c r="A17" s="18"/>
      <c r="B17" s="167"/>
      <c r="C17" s="193" t="s">
        <v>27</v>
      </c>
      <c r="I17" s="68"/>
      <c r="J17" s="47"/>
    </row>
    <row r="18" spans="1:10" x14ac:dyDescent="0.3">
      <c r="A18" s="18"/>
      <c r="B18" s="167"/>
      <c r="C18" s="193" t="s">
        <v>28</v>
      </c>
      <c r="I18" s="68"/>
      <c r="J18" s="47"/>
    </row>
    <row r="19" spans="1:10" x14ac:dyDescent="0.3">
      <c r="A19" s="18"/>
      <c r="B19" s="167"/>
      <c r="C19" s="193" t="s">
        <v>29</v>
      </c>
      <c r="I19" s="68"/>
      <c r="J19" s="47"/>
    </row>
    <row r="20" spans="1:10" x14ac:dyDescent="0.3">
      <c r="A20" s="18"/>
      <c r="B20" s="167"/>
      <c r="C20" s="193" t="s">
        <v>30</v>
      </c>
      <c r="I20" s="68"/>
      <c r="J20" s="47"/>
    </row>
    <row r="21" spans="1:10" x14ac:dyDescent="0.3">
      <c r="A21" s="18"/>
      <c r="B21" s="167"/>
      <c r="C21" s="194"/>
      <c r="I21" s="68"/>
      <c r="J21" s="47"/>
    </row>
    <row r="22" spans="1:10" ht="28.5" customHeight="1" x14ac:dyDescent="0.3">
      <c r="A22" s="18"/>
      <c r="B22" s="167"/>
      <c r="C22" s="17" t="s">
        <v>31</v>
      </c>
      <c r="I22" s="68"/>
      <c r="J22" s="47"/>
    </row>
    <row r="23" spans="1:10" x14ac:dyDescent="0.3">
      <c r="A23" s="18"/>
      <c r="B23" s="167"/>
      <c r="I23" s="68"/>
      <c r="J23" s="47"/>
    </row>
    <row r="24" spans="1:10" hidden="1" x14ac:dyDescent="0.3">
      <c r="A24" s="18"/>
      <c r="B24" s="168" t="s">
        <v>12</v>
      </c>
      <c r="C24" s="191" t="s">
        <v>32</v>
      </c>
      <c r="D24" s="189">
        <f>'Resumen global'!E13</f>
        <v>0</v>
      </c>
      <c r="I24" s="68"/>
      <c r="J24" s="47"/>
    </row>
    <row r="25" spans="1:10" ht="45.75" hidden="1" customHeight="1" x14ac:dyDescent="0.3">
      <c r="A25" s="18"/>
      <c r="B25" s="167"/>
      <c r="C25" s="195" t="s">
        <v>33</v>
      </c>
      <c r="D25" s="19"/>
      <c r="I25" s="68"/>
      <c r="J25" s="47"/>
    </row>
    <row r="26" spans="1:10" hidden="1" x14ac:dyDescent="0.3">
      <c r="A26" s="18"/>
      <c r="B26" s="171"/>
      <c r="C26" s="196" t="s">
        <v>34</v>
      </c>
      <c r="D26" s="197">
        <f>'Resumen global'!K20</f>
        <v>0.2</v>
      </c>
      <c r="E26" s="47"/>
      <c r="I26" s="68"/>
      <c r="J26" s="47"/>
    </row>
    <row r="27" spans="1:10" hidden="1" x14ac:dyDescent="0.3">
      <c r="A27" s="18"/>
      <c r="B27" s="171"/>
      <c r="C27" s="196" t="s">
        <v>35</v>
      </c>
      <c r="D27" s="197">
        <f>'Resumen global'!K21</f>
        <v>0.5</v>
      </c>
      <c r="E27" s="47"/>
      <c r="I27" s="68"/>
      <c r="J27" s="47"/>
    </row>
    <row r="28" spans="1:10" hidden="1" x14ac:dyDescent="0.3">
      <c r="A28" s="18"/>
      <c r="B28" s="171"/>
      <c r="C28" s="196" t="s">
        <v>36</v>
      </c>
      <c r="D28" s="197">
        <f>'Resumen global'!K22</f>
        <v>0.3</v>
      </c>
      <c r="E28" s="47"/>
      <c r="I28" s="68"/>
      <c r="J28" s="47"/>
    </row>
    <row r="29" spans="1:10" hidden="1" x14ac:dyDescent="0.3">
      <c r="A29" s="18"/>
      <c r="B29" s="167"/>
      <c r="C29" s="20"/>
      <c r="D29" s="20"/>
      <c r="I29" s="68"/>
      <c r="J29" s="47"/>
    </row>
    <row r="30" spans="1:10" hidden="1" x14ac:dyDescent="0.3">
      <c r="A30" s="18"/>
      <c r="B30" s="167"/>
      <c r="C30" s="16" t="s">
        <v>37</v>
      </c>
      <c r="I30" s="68"/>
      <c r="J30" s="47"/>
    </row>
    <row r="31" spans="1:10" ht="28.8" hidden="1" x14ac:dyDescent="0.3">
      <c r="A31" s="18"/>
      <c r="B31" s="167"/>
      <c r="C31" s="17" t="s">
        <v>38</v>
      </c>
      <c r="I31" s="68"/>
      <c r="J31" s="47"/>
    </row>
    <row r="32" spans="1:10" hidden="1" x14ac:dyDescent="0.3">
      <c r="A32" s="18"/>
      <c r="B32" s="167"/>
      <c r="I32" s="68"/>
      <c r="J32" s="47"/>
    </row>
    <row r="33" spans="1:10" ht="28.8" x14ac:dyDescent="0.3">
      <c r="A33" s="18"/>
      <c r="B33" s="170" t="s">
        <v>12</v>
      </c>
      <c r="C33" s="198" t="s">
        <v>39</v>
      </c>
      <c r="D33" s="189">
        <f>'Resumen global'!E15</f>
        <v>0.31</v>
      </c>
      <c r="I33" s="68"/>
      <c r="J33" s="47"/>
    </row>
    <row r="34" spans="1:10" ht="43.2" x14ac:dyDescent="0.3">
      <c r="A34" s="18"/>
      <c r="B34" s="167"/>
      <c r="C34" s="17" t="s">
        <v>40</v>
      </c>
      <c r="I34" s="68"/>
      <c r="J34" s="47"/>
    </row>
    <row r="35" spans="1:10" x14ac:dyDescent="0.3">
      <c r="A35" s="18"/>
      <c r="B35" s="167"/>
      <c r="I35" s="68"/>
      <c r="J35" s="47"/>
    </row>
    <row r="36" spans="1:10" x14ac:dyDescent="0.3">
      <c r="A36" s="18"/>
      <c r="B36" s="167"/>
      <c r="C36" s="21" t="s">
        <v>41</v>
      </c>
      <c r="I36" s="68"/>
      <c r="J36" s="47"/>
    </row>
    <row r="37" spans="1:10" ht="28.8" x14ac:dyDescent="0.3">
      <c r="A37" s="18"/>
      <c r="B37" s="167"/>
      <c r="C37" s="17" t="s">
        <v>42</v>
      </c>
      <c r="I37" s="68"/>
      <c r="J37" s="47"/>
    </row>
    <row r="38" spans="1:10" x14ac:dyDescent="0.3">
      <c r="A38" s="18"/>
      <c r="B38" s="167"/>
      <c r="I38" s="68"/>
      <c r="J38" s="47"/>
    </row>
    <row r="39" spans="1:10" ht="15" thickBot="1" x14ac:dyDescent="0.35">
      <c r="A39" s="18"/>
      <c r="B39" s="172"/>
      <c r="C39" s="71"/>
      <c r="D39" s="71"/>
      <c r="E39" s="71"/>
      <c r="F39" s="71"/>
      <c r="G39" s="71"/>
      <c r="H39" s="71"/>
      <c r="I39" s="72"/>
      <c r="J39" s="47"/>
    </row>
    <row r="40" spans="1:10" x14ac:dyDescent="0.3">
      <c r="B40" s="173"/>
      <c r="C40" s="20"/>
      <c r="D40" s="20"/>
      <c r="E40" s="20"/>
      <c r="F40" s="20"/>
      <c r="G40" s="20"/>
      <c r="H40" s="20"/>
      <c r="I40" s="20"/>
    </row>
    <row r="43" spans="1:10" x14ac:dyDescent="0.3">
      <c r="B43" s="199"/>
    </row>
    <row r="47" spans="1:10" hidden="1" x14ac:dyDescent="0.3"/>
    <row r="48" spans="1:10"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row r="57" hidden="1" x14ac:dyDescent="0.3"/>
    <row r="58" hidden="1" x14ac:dyDescent="0.3"/>
  </sheetData>
  <sheetProtection algorithmName="SHA-512" hashValue="QcVPVD7mfIzxVfQuTvTArB9JZSanadYH3yORP/940iEKJjNxhOqAs5yjmSZsqHyUpvR3y1A7B3YjsaJNrgd7pQ==" saltValue="m7hRrd5sadW+rUX1JPxjqg==" spinCount="100000" sheet="1" selectLockedCells="1"/>
  <pageMargins left="0.7" right="0.7" top="0.75" bottom="0.75" header="0.3" footer="0.3"/>
  <pageSetup paperSize="9" scale="6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C343F-D43F-4127-ADB0-8A1C5C091CC8}">
  <sheetPr codeName="Hoja7"/>
  <dimension ref="A1:E99"/>
  <sheetViews>
    <sheetView showGridLines="0" workbookViewId="0">
      <selection activeCell="D70" sqref="D70"/>
    </sheetView>
  </sheetViews>
  <sheetFormatPr baseColWidth="10" defaultColWidth="11.44140625" defaultRowHeight="14.4" x14ac:dyDescent="0.3"/>
  <cols>
    <col min="1" max="1" width="6.5546875" customWidth="1"/>
    <col min="2" max="2" width="32.6640625" customWidth="1"/>
    <col min="3" max="3" width="58.109375" customWidth="1"/>
    <col min="4" max="4" width="16.33203125" customWidth="1"/>
  </cols>
  <sheetData>
    <row r="1" spans="1:5" ht="18" customHeight="1" x14ac:dyDescent="0.3">
      <c r="A1" s="7"/>
      <c r="D1" s="8"/>
    </row>
    <row r="2" spans="1:5" ht="18" customHeight="1" x14ac:dyDescent="0.3">
      <c r="B2" s="30" t="str">
        <f>+'Medios humanos'!B2</f>
        <v>Formación Académica</v>
      </c>
      <c r="C2" s="137"/>
      <c r="D2" s="31" t="str">
        <f>+'Medios humanos'!C2</f>
        <v>Puntuación</v>
      </c>
    </row>
    <row r="3" spans="1:5" ht="18" customHeight="1" x14ac:dyDescent="0.3">
      <c r="A3" s="8"/>
      <c r="B3" s="2" t="str">
        <f>+'Medios humanos'!B3</f>
        <v>Tit. Sup. Univ. + Complementos</v>
      </c>
      <c r="C3" s="138"/>
      <c r="D3" s="5">
        <f>+'Medios humanos'!C3</f>
        <v>3.5</v>
      </c>
    </row>
    <row r="4" spans="1:5" ht="18" customHeight="1" x14ac:dyDescent="0.3">
      <c r="A4" s="8"/>
      <c r="B4" s="2" t="str">
        <f>+'Medios humanos'!B4</f>
        <v>Tit. Sup. Universitaria</v>
      </c>
      <c r="C4" s="138"/>
      <c r="D4" s="5">
        <f>+'Medios humanos'!C4</f>
        <v>3</v>
      </c>
    </row>
    <row r="5" spans="1:5" ht="18" customHeight="1" x14ac:dyDescent="0.3">
      <c r="A5" s="8"/>
      <c r="B5" s="2" t="str">
        <f>+'Medios humanos'!B5</f>
        <v>Tit. Media Universitaria</v>
      </c>
      <c r="C5" s="138"/>
      <c r="D5" s="5">
        <f>+'Medios humanos'!C5</f>
        <v>2.5</v>
      </c>
    </row>
    <row r="6" spans="1:5" ht="18" customHeight="1" x14ac:dyDescent="0.3">
      <c r="A6" s="8"/>
      <c r="B6" s="2" t="str">
        <f>+'Medios humanos'!B6</f>
        <v>Formación Profesional</v>
      </c>
      <c r="C6" s="138"/>
      <c r="D6" s="5">
        <f>+'Medios humanos'!C6</f>
        <v>1.5</v>
      </c>
    </row>
    <row r="7" spans="1:5" ht="18" customHeight="1" x14ac:dyDescent="0.3">
      <c r="A7" s="8"/>
      <c r="B7" s="2" t="str">
        <f>+'Medios humanos'!B7</f>
        <v>Otras formaciones</v>
      </c>
      <c r="C7" s="138"/>
      <c r="D7" s="5">
        <f>+'Medios humanos'!C7</f>
        <v>0</v>
      </c>
    </row>
    <row r="8" spans="1:5" ht="18" customHeight="1" x14ac:dyDescent="0.3">
      <c r="A8" s="9"/>
      <c r="B8" s="202" t="str">
        <f>+'Medios humanos'!B8</f>
        <v>Máximo</v>
      </c>
      <c r="C8" s="203"/>
      <c r="D8" s="113">
        <f>+'Medios humanos'!C8</f>
        <v>3.5</v>
      </c>
    </row>
    <row r="9" spans="1:5" ht="18" customHeight="1" x14ac:dyDescent="0.3">
      <c r="B9" s="30" t="str">
        <f>+'Medios humanos'!B15</f>
        <v>Euskera</v>
      </c>
      <c r="C9" s="137"/>
      <c r="D9" s="31" t="str">
        <f>+'Medios humanos'!C15</f>
        <v>Puntuación</v>
      </c>
    </row>
    <row r="10" spans="1:5" ht="18" customHeight="1" x14ac:dyDescent="0.3">
      <c r="A10" s="8"/>
      <c r="B10" s="2" t="str">
        <f>+'Medios humanos'!B16</f>
        <v>C1/Homologable o superior</v>
      </c>
      <c r="C10" s="138"/>
      <c r="D10" s="5">
        <f>+'Medios humanos'!C16</f>
        <v>1.5</v>
      </c>
    </row>
    <row r="11" spans="1:5" ht="18" customHeight="1" x14ac:dyDescent="0.3">
      <c r="A11" s="8"/>
      <c r="B11" s="2" t="str">
        <f>+'Medios humanos'!B17</f>
        <v>Exento s/Decreto 47/2012</v>
      </c>
      <c r="C11" s="138"/>
      <c r="D11" s="5">
        <f>+'Medios humanos'!C17</f>
        <v>1.5</v>
      </c>
    </row>
    <row r="12" spans="1:5" ht="18" customHeight="1" x14ac:dyDescent="0.3">
      <c r="A12" s="8"/>
      <c r="B12" s="2" t="str">
        <f>+'Medios humanos'!B18</f>
        <v>B2</v>
      </c>
      <c r="C12" s="138"/>
      <c r="D12" s="5">
        <f>+'Medios humanos'!C18</f>
        <v>1</v>
      </c>
    </row>
    <row r="13" spans="1:5" ht="18" customHeight="1" x14ac:dyDescent="0.3">
      <c r="A13" s="1"/>
      <c r="B13" s="2" t="str">
        <f>+'Medios humanos'!B19</f>
        <v>Otras certificaciones</v>
      </c>
      <c r="C13" s="138"/>
      <c r="D13" s="5">
        <f>+'Medios humanos'!C19</f>
        <v>0.5</v>
      </c>
    </row>
    <row r="14" spans="1:5" ht="18" customHeight="1" x14ac:dyDescent="0.3">
      <c r="A14" s="8"/>
      <c r="B14" s="2" t="str">
        <f>+'Medios humanos'!B20</f>
        <v>Sin certificación</v>
      </c>
      <c r="C14" s="138"/>
      <c r="D14" s="5">
        <f>+'Medios humanos'!C20</f>
        <v>0</v>
      </c>
    </row>
    <row r="15" spans="1:5" ht="18" customHeight="1" x14ac:dyDescent="0.3">
      <c r="B15" s="202" t="str">
        <f>+'Medios humanos'!B21</f>
        <v>Máximo</v>
      </c>
      <c r="C15" s="203"/>
      <c r="D15" s="113">
        <f>+'Medios humanos'!C21</f>
        <v>1.5</v>
      </c>
    </row>
    <row r="16" spans="1:5" ht="18" customHeight="1" x14ac:dyDescent="0.3">
      <c r="B16" s="204" t="s">
        <v>43</v>
      </c>
      <c r="C16" s="204"/>
      <c r="D16" s="205"/>
      <c r="E16" s="32">
        <f>+'Medios humanos'!D26</f>
        <v>5</v>
      </c>
    </row>
    <row r="17" spans="1:4" ht="18" customHeight="1" x14ac:dyDescent="0.3">
      <c r="A17" s="136" t="s">
        <v>44</v>
      </c>
      <c r="B17" s="33" t="str">
        <f>'Medios humanos'!B27</f>
        <v>Nº de años en áreas funcionales</v>
      </c>
      <c r="C17" s="139">
        <f>'Resumen global'!E27</f>
        <v>0</v>
      </c>
      <c r="D17" s="34" t="str">
        <f>+'Medios humanos'!C27</f>
        <v>Puntuación</v>
      </c>
    </row>
    <row r="18" spans="1:4" ht="18" customHeight="1" x14ac:dyDescent="0.3">
      <c r="A18" s="8"/>
      <c r="B18" s="2" t="str">
        <f>+'Medios humanos'!B28</f>
        <v>&gt; 10 años</v>
      </c>
      <c r="C18" s="138"/>
      <c r="D18" s="5">
        <f>+'Medios humanos'!C28</f>
        <v>0</v>
      </c>
    </row>
    <row r="19" spans="1:4" ht="18" customHeight="1" x14ac:dyDescent="0.3">
      <c r="A19" s="8"/>
      <c r="B19" s="2" t="str">
        <f>+'Medios humanos'!B29</f>
        <v>&gt; de 5 y &lt;= a 10 años</v>
      </c>
      <c r="C19" s="138"/>
      <c r="D19" s="5">
        <f>+'Medios humanos'!C29</f>
        <v>0</v>
      </c>
    </row>
    <row r="20" spans="1:4" ht="18" customHeight="1" x14ac:dyDescent="0.3">
      <c r="A20" s="8"/>
      <c r="B20" s="2" t="str">
        <f>+'Medios humanos'!B30</f>
        <v>&gt; de 3 y &lt;= a 5 años</v>
      </c>
      <c r="C20" s="138"/>
      <c r="D20" s="5">
        <f>+'Medios humanos'!C30</f>
        <v>0</v>
      </c>
    </row>
    <row r="21" spans="1:4" ht="18" customHeight="1" x14ac:dyDescent="0.3">
      <c r="A21" s="8"/>
      <c r="B21" s="2" t="str">
        <f>+'Medios humanos'!B31</f>
        <v>&lt;= de 3 años</v>
      </c>
      <c r="C21" s="138"/>
      <c r="D21" s="5">
        <f>+'Medios humanos'!C31</f>
        <v>0</v>
      </c>
    </row>
    <row r="22" spans="1:4" ht="18" customHeight="1" x14ac:dyDescent="0.3">
      <c r="A22" s="8"/>
      <c r="B22" s="2" t="str">
        <f>+'Medios humanos'!B32</f>
        <v>Sin años de experiencia</v>
      </c>
      <c r="C22" s="138"/>
      <c r="D22" s="5">
        <f>+'Medios humanos'!C32</f>
        <v>0</v>
      </c>
    </row>
    <row r="23" spans="1:4" ht="18" customHeight="1" x14ac:dyDescent="0.3">
      <c r="A23" s="8"/>
      <c r="B23" s="202" t="str">
        <f>+'Medios humanos'!B33</f>
        <v>Máximo</v>
      </c>
      <c r="C23" s="203"/>
      <c r="D23" s="113">
        <f>+'Medios humanos'!C33</f>
        <v>0</v>
      </c>
    </row>
    <row r="24" spans="1:4" ht="18" customHeight="1" x14ac:dyDescent="0.3">
      <c r="A24" s="136" t="s">
        <v>45</v>
      </c>
      <c r="B24" s="33" t="str">
        <f>'Medios humanos'!B34</f>
        <v>Nº de años en áreas funcionales</v>
      </c>
      <c r="C24" s="139">
        <f>'Resumen global'!E28</f>
        <v>0</v>
      </c>
      <c r="D24" s="34" t="str">
        <f>+'Medios humanos'!C34</f>
        <v>Puntuación</v>
      </c>
    </row>
    <row r="25" spans="1:4" ht="18" customHeight="1" x14ac:dyDescent="0.3">
      <c r="A25" s="8"/>
      <c r="B25" s="2" t="str">
        <f>+'Medios humanos'!B35</f>
        <v>&gt; 10 años</v>
      </c>
      <c r="C25" s="138"/>
      <c r="D25" s="5">
        <f>+'Medios humanos'!C35</f>
        <v>0</v>
      </c>
    </row>
    <row r="26" spans="1:4" ht="18" customHeight="1" x14ac:dyDescent="0.3">
      <c r="A26" s="8"/>
      <c r="B26" s="2" t="str">
        <f>+'Medios humanos'!B36</f>
        <v>&gt; de 5 y &lt;= a 10 años</v>
      </c>
      <c r="C26" s="138"/>
      <c r="D26" s="5">
        <f>+'Medios humanos'!C36</f>
        <v>0</v>
      </c>
    </row>
    <row r="27" spans="1:4" ht="18" customHeight="1" x14ac:dyDescent="0.3">
      <c r="A27" s="8"/>
      <c r="B27" s="2" t="str">
        <f>+'Medios humanos'!B37</f>
        <v>&gt; de 3 y &lt;= a 5 años</v>
      </c>
      <c r="C27" s="138"/>
      <c r="D27" s="5">
        <f>+'Medios humanos'!C37</f>
        <v>0</v>
      </c>
    </row>
    <row r="28" spans="1:4" ht="18" customHeight="1" x14ac:dyDescent="0.3">
      <c r="A28" s="8"/>
      <c r="B28" s="2" t="str">
        <f>+'Medios humanos'!B38</f>
        <v>&lt;= de 3 años</v>
      </c>
      <c r="C28" s="138"/>
      <c r="D28" s="5">
        <f>+'Medios humanos'!C38</f>
        <v>0</v>
      </c>
    </row>
    <row r="29" spans="1:4" ht="18" customHeight="1" x14ac:dyDescent="0.3">
      <c r="B29" s="2" t="str">
        <f>+'Medios humanos'!B39</f>
        <v>Sin años de experiencia</v>
      </c>
      <c r="C29" s="138"/>
      <c r="D29" s="5">
        <f>+'Medios humanos'!C39</f>
        <v>0</v>
      </c>
    </row>
    <row r="30" spans="1:4" ht="18" customHeight="1" x14ac:dyDescent="0.3">
      <c r="A30" s="8"/>
      <c r="B30" s="202" t="str">
        <f>+'Medios humanos'!B40</f>
        <v>Máximo</v>
      </c>
      <c r="C30" s="203"/>
      <c r="D30" s="113">
        <f>+'Medios humanos'!C40</f>
        <v>0</v>
      </c>
    </row>
    <row r="31" spans="1:4" ht="18" customHeight="1" x14ac:dyDescent="0.3">
      <c r="A31" s="136" t="s">
        <v>46</v>
      </c>
      <c r="B31" s="33" t="str">
        <f>'Medios humanos'!B41</f>
        <v xml:space="preserve">Nº de años en áreas funcionales </v>
      </c>
      <c r="C31" s="139">
        <f>'Resumen global'!E29</f>
        <v>0</v>
      </c>
      <c r="D31" s="34" t="str">
        <f>+'Medios humanos'!C41</f>
        <v>Puntuación</v>
      </c>
    </row>
    <row r="32" spans="1:4" ht="18" customHeight="1" x14ac:dyDescent="0.3">
      <c r="A32" s="8"/>
      <c r="B32" s="2" t="str">
        <f>+'Medios humanos'!B42</f>
        <v>&gt; 10 años</v>
      </c>
      <c r="C32" s="138"/>
      <c r="D32" s="5">
        <f>+'Medios humanos'!C42</f>
        <v>0</v>
      </c>
    </row>
    <row r="33" spans="1:5" ht="18" customHeight="1" x14ac:dyDescent="0.3">
      <c r="A33" s="8"/>
      <c r="B33" s="2" t="str">
        <f>+'Medios humanos'!B43</f>
        <v>&gt; de 5 y &lt;= a 10 años</v>
      </c>
      <c r="C33" s="138"/>
      <c r="D33" s="5">
        <f>+'Medios humanos'!C43</f>
        <v>0</v>
      </c>
    </row>
    <row r="34" spans="1:5" ht="18" customHeight="1" x14ac:dyDescent="0.3">
      <c r="A34" s="8"/>
      <c r="B34" s="2" t="str">
        <f>+'Medios humanos'!B44</f>
        <v>&gt; de 3 y &lt;= a 5 años</v>
      </c>
      <c r="C34" s="138"/>
      <c r="D34" s="5">
        <f>+'Medios humanos'!C44</f>
        <v>0</v>
      </c>
    </row>
    <row r="35" spans="1:5" ht="18" customHeight="1" x14ac:dyDescent="0.3">
      <c r="A35" s="8"/>
      <c r="B35" s="2" t="str">
        <f>+'Medios humanos'!B45</f>
        <v>&lt;= de 3 años</v>
      </c>
      <c r="C35" s="138"/>
      <c r="D35" s="5">
        <f>+'Medios humanos'!C45</f>
        <v>0</v>
      </c>
    </row>
    <row r="36" spans="1:5" ht="18" customHeight="1" x14ac:dyDescent="0.3">
      <c r="B36" s="2" t="str">
        <f>+'Medios humanos'!B46</f>
        <v>Sin años de experiencia</v>
      </c>
      <c r="C36" s="138"/>
      <c r="D36" s="5">
        <f>+'Medios humanos'!C46</f>
        <v>0</v>
      </c>
    </row>
    <row r="37" spans="1:5" ht="18" customHeight="1" x14ac:dyDescent="0.3">
      <c r="A37" s="8"/>
      <c r="B37" s="202" t="str">
        <f>+'Medios humanos'!B47</f>
        <v>Máximo</v>
      </c>
      <c r="C37" s="203"/>
      <c r="D37" s="113">
        <f>+'Medios humanos'!C47</f>
        <v>0</v>
      </c>
    </row>
    <row r="38" spans="1:5" ht="18" customHeight="1" x14ac:dyDescent="0.3">
      <c r="B38" s="206" t="s">
        <v>47</v>
      </c>
      <c r="C38" s="206"/>
      <c r="D38" s="207"/>
      <c r="E38" s="37">
        <f>+'Medios humanos'!D47</f>
        <v>0</v>
      </c>
    </row>
    <row r="39" spans="1:5" ht="18" customHeight="1" x14ac:dyDescent="0.3">
      <c r="A39" s="136" t="s">
        <v>44</v>
      </c>
      <c r="B39" s="35" t="str">
        <f>+'Medios humanos'!B48</f>
        <v>Nº de proyectos en tecnología</v>
      </c>
      <c r="C39" s="140">
        <f>+'Resumen global'!$E$20</f>
        <v>0</v>
      </c>
      <c r="D39" s="36" t="str">
        <f>+'Medios humanos'!C48</f>
        <v>Puntuación</v>
      </c>
    </row>
    <row r="40" spans="1:5" ht="18" customHeight="1" x14ac:dyDescent="0.3">
      <c r="A40" s="8"/>
      <c r="B40" s="2" t="str">
        <f>+'Medios humanos'!B49</f>
        <v>&gt; 10 proyectos</v>
      </c>
      <c r="C40" s="138"/>
      <c r="D40" s="5">
        <f>+'Medios humanos'!C49*'Resumen global'!$G$20</f>
        <v>0</v>
      </c>
    </row>
    <row r="41" spans="1:5" ht="18" customHeight="1" x14ac:dyDescent="0.3">
      <c r="A41" s="8"/>
      <c r="B41" s="2" t="str">
        <f>+'Medios humanos'!B50</f>
        <v>Entre 5 y 10 proyectos</v>
      </c>
      <c r="C41" s="138"/>
      <c r="D41" s="5">
        <f>+'Medios humanos'!C50*'Resumen global'!$G$20</f>
        <v>0</v>
      </c>
    </row>
    <row r="42" spans="1:5" ht="18" customHeight="1" x14ac:dyDescent="0.3">
      <c r="B42" s="2" t="str">
        <f>+'Medios humanos'!B51</f>
        <v>3 ó 4 proyectos</v>
      </c>
      <c r="C42" s="138"/>
      <c r="D42" s="5">
        <f>+'Medios humanos'!C51*'Resumen global'!$G$20</f>
        <v>0</v>
      </c>
    </row>
    <row r="43" spans="1:5" ht="18" customHeight="1" x14ac:dyDescent="0.3">
      <c r="B43" s="2" t="str">
        <f>+'Medios humanos'!B52</f>
        <v>1 ó 2 proyectos</v>
      </c>
      <c r="C43" s="138"/>
      <c r="D43" s="5">
        <f>+'Medios humanos'!C52*'Resumen global'!$G$20</f>
        <v>0</v>
      </c>
    </row>
    <row r="44" spans="1:5" ht="18" customHeight="1" x14ac:dyDescent="0.3">
      <c r="A44" s="8"/>
      <c r="B44" s="2" t="str">
        <f>+'Medios humanos'!B53</f>
        <v>Sin proyectos</v>
      </c>
      <c r="C44" s="138"/>
      <c r="D44" s="5">
        <f>+'Medios humanos'!C53*'Resumen global'!$G$20</f>
        <v>0</v>
      </c>
    </row>
    <row r="45" spans="1:5" ht="18" customHeight="1" x14ac:dyDescent="0.3">
      <c r="A45" s="8"/>
      <c r="B45" s="202" t="str">
        <f>+'Medios humanos'!B54</f>
        <v>Máximo</v>
      </c>
      <c r="C45" s="203"/>
      <c r="D45" s="113">
        <f>MAX(D40:D44)</f>
        <v>0</v>
      </c>
    </row>
    <row r="46" spans="1:5" ht="18" customHeight="1" x14ac:dyDescent="0.3">
      <c r="A46" s="8"/>
      <c r="B46" s="35" t="str">
        <f>+'Medios humanos'!B55</f>
        <v xml:space="preserve">Nº de años en esos proyectos </v>
      </c>
      <c r="C46" s="140"/>
      <c r="D46" s="36" t="str">
        <f>+'Medios humanos'!C55</f>
        <v>Puntuación</v>
      </c>
    </row>
    <row r="47" spans="1:5" ht="18" customHeight="1" x14ac:dyDescent="0.3">
      <c r="A47" s="8"/>
      <c r="B47" s="2" t="str">
        <f>+'Medios humanos'!B56</f>
        <v>&gt; 10 años</v>
      </c>
      <c r="C47" s="138"/>
      <c r="D47" s="5">
        <f>+'Medios humanos'!C56*'Resumen global'!$G$20</f>
        <v>0</v>
      </c>
    </row>
    <row r="48" spans="1:5" ht="18" customHeight="1" x14ac:dyDescent="0.3">
      <c r="A48" s="8"/>
      <c r="B48" s="2" t="str">
        <f>+'Medios humanos'!B57</f>
        <v>&gt; de 5 y &lt;= a 10 años</v>
      </c>
      <c r="C48" s="138"/>
      <c r="D48" s="5">
        <f>+'Medios humanos'!C57*'Resumen global'!$G$20</f>
        <v>0</v>
      </c>
    </row>
    <row r="49" spans="1:4" ht="18" customHeight="1" x14ac:dyDescent="0.3">
      <c r="A49" s="8"/>
      <c r="B49" s="2" t="str">
        <f>+'Medios humanos'!B58</f>
        <v>&gt; de 3 y &lt;= a 5 años</v>
      </c>
      <c r="C49" s="138"/>
      <c r="D49" s="5">
        <f>+'Medios humanos'!C58*'Resumen global'!$G$20</f>
        <v>0</v>
      </c>
    </row>
    <row r="50" spans="1:4" ht="18" customHeight="1" x14ac:dyDescent="0.3">
      <c r="B50" s="2" t="str">
        <f>+'Medios humanos'!B59</f>
        <v>&lt;= de 3 años</v>
      </c>
      <c r="C50" s="138"/>
      <c r="D50" s="5">
        <f>+'Medios humanos'!C59*'Resumen global'!$G$20</f>
        <v>0</v>
      </c>
    </row>
    <row r="51" spans="1:4" ht="18" customHeight="1" x14ac:dyDescent="0.3">
      <c r="A51" s="8"/>
      <c r="B51" s="202" t="str">
        <f>+'Medios humanos'!B60</f>
        <v>Máximo</v>
      </c>
      <c r="C51" s="203"/>
      <c r="D51" s="113">
        <f>MAX(D47:D50)</f>
        <v>0</v>
      </c>
    </row>
    <row r="52" spans="1:4" ht="18" customHeight="1" x14ac:dyDescent="0.3">
      <c r="A52" s="136" t="s">
        <v>45</v>
      </c>
      <c r="B52" s="35" t="str">
        <f>+'Medios humanos'!B48</f>
        <v>Nº de proyectos en tecnología</v>
      </c>
      <c r="C52" s="140">
        <f>+'Resumen global'!$E$21</f>
        <v>0</v>
      </c>
      <c r="D52" s="36" t="str">
        <f>+'Medios humanos'!C48</f>
        <v>Puntuación</v>
      </c>
    </row>
    <row r="53" spans="1:4" ht="18" customHeight="1" x14ac:dyDescent="0.3">
      <c r="A53" s="8"/>
      <c r="B53" s="2" t="str">
        <f>+'Medios humanos'!B49</f>
        <v>&gt; 10 proyectos</v>
      </c>
      <c r="C53" s="138"/>
      <c r="D53" s="5">
        <f>+'Medios humanos'!C49*'Resumen global'!$G$21</f>
        <v>0</v>
      </c>
    </row>
    <row r="54" spans="1:4" ht="18" customHeight="1" x14ac:dyDescent="0.3">
      <c r="A54" s="8"/>
      <c r="B54" s="2" t="str">
        <f>+'Medios humanos'!B50</f>
        <v>Entre 5 y 10 proyectos</v>
      </c>
      <c r="C54" s="138"/>
      <c r="D54" s="5">
        <f>+'Medios humanos'!C50*'Resumen global'!$G$21</f>
        <v>0</v>
      </c>
    </row>
    <row r="55" spans="1:4" ht="18" customHeight="1" x14ac:dyDescent="0.3">
      <c r="B55" s="2" t="str">
        <f>+'Medios humanos'!B51</f>
        <v>3 ó 4 proyectos</v>
      </c>
      <c r="C55" s="138"/>
      <c r="D55" s="5">
        <f>+'Medios humanos'!C51*'Resumen global'!$G$21</f>
        <v>0</v>
      </c>
    </row>
    <row r="56" spans="1:4" ht="18" customHeight="1" x14ac:dyDescent="0.3">
      <c r="B56" s="2" t="str">
        <f>+'Medios humanos'!B52</f>
        <v>1 ó 2 proyectos</v>
      </c>
      <c r="C56" s="138"/>
      <c r="D56" s="5">
        <f>+'Medios humanos'!C52*'Resumen global'!$G$21</f>
        <v>0</v>
      </c>
    </row>
    <row r="57" spans="1:4" ht="18" customHeight="1" x14ac:dyDescent="0.3">
      <c r="A57" s="8"/>
      <c r="B57" s="2" t="str">
        <f>+'Medios humanos'!B53</f>
        <v>Sin proyectos</v>
      </c>
      <c r="C57" s="138"/>
      <c r="D57" s="5">
        <f>+'Medios humanos'!C53*'Resumen global'!$G$21</f>
        <v>0</v>
      </c>
    </row>
    <row r="58" spans="1:4" ht="18" customHeight="1" x14ac:dyDescent="0.3">
      <c r="A58" s="8"/>
      <c r="B58" s="202" t="str">
        <f>+'Medios humanos'!B54</f>
        <v>Máximo</v>
      </c>
      <c r="C58" s="203"/>
      <c r="D58" s="113">
        <f>MAX(D53:D57)</f>
        <v>0</v>
      </c>
    </row>
    <row r="59" spans="1:4" ht="18" customHeight="1" x14ac:dyDescent="0.3">
      <c r="A59" s="8"/>
      <c r="B59" s="35" t="str">
        <f>+'Medios humanos'!B55</f>
        <v xml:space="preserve">Nº de años en esos proyectos </v>
      </c>
      <c r="C59" s="140"/>
      <c r="D59" s="36" t="str">
        <f>+'Medios humanos'!C55</f>
        <v>Puntuación</v>
      </c>
    </row>
    <row r="60" spans="1:4" ht="18" customHeight="1" x14ac:dyDescent="0.3">
      <c r="A60" s="8"/>
      <c r="B60" s="2" t="str">
        <f>+'Medios humanos'!B56</f>
        <v>&gt; 10 años</v>
      </c>
      <c r="C60" s="138"/>
      <c r="D60" s="5">
        <f>+'Medios humanos'!C56*'Resumen global'!$G$21</f>
        <v>0</v>
      </c>
    </row>
    <row r="61" spans="1:4" ht="18" customHeight="1" x14ac:dyDescent="0.3">
      <c r="A61" s="8"/>
      <c r="B61" s="2" t="str">
        <f>+'Medios humanos'!B57</f>
        <v>&gt; de 5 y &lt;= a 10 años</v>
      </c>
      <c r="C61" s="138"/>
      <c r="D61" s="5">
        <f>+'Medios humanos'!C57*'Resumen global'!$G$21</f>
        <v>0</v>
      </c>
    </row>
    <row r="62" spans="1:4" ht="18" customHeight="1" x14ac:dyDescent="0.3">
      <c r="A62" s="8"/>
      <c r="B62" s="2" t="str">
        <f>+'Medios humanos'!B58</f>
        <v>&gt; de 3 y &lt;= a 5 años</v>
      </c>
      <c r="C62" s="138"/>
      <c r="D62" s="5">
        <f>+'Medios humanos'!C58*'Resumen global'!$G$21</f>
        <v>0</v>
      </c>
    </row>
    <row r="63" spans="1:4" ht="18" customHeight="1" x14ac:dyDescent="0.3">
      <c r="B63" s="2" t="str">
        <f>+'Medios humanos'!B59</f>
        <v>&lt;= de 3 años</v>
      </c>
      <c r="C63" s="138"/>
      <c r="D63" s="5">
        <f>+'Medios humanos'!C59*'Resumen global'!$G$21</f>
        <v>0</v>
      </c>
    </row>
    <row r="64" spans="1:4" ht="18" customHeight="1" x14ac:dyDescent="0.3">
      <c r="A64" s="8"/>
      <c r="B64" s="202" t="str">
        <f>+'Medios humanos'!B60</f>
        <v>Máximo</v>
      </c>
      <c r="C64" s="203"/>
      <c r="D64" s="113">
        <f>MAX(D60:D63)</f>
        <v>0</v>
      </c>
    </row>
    <row r="65" spans="1:4" ht="18" customHeight="1" x14ac:dyDescent="0.3">
      <c r="A65" s="136" t="s">
        <v>46</v>
      </c>
      <c r="B65" s="35" t="str">
        <f>+'Medios humanos'!B48</f>
        <v>Nº de proyectos en tecnología</v>
      </c>
      <c r="C65" s="140">
        <f>+'Resumen global'!$E$22</f>
        <v>0</v>
      </c>
      <c r="D65" s="36" t="str">
        <f>+'Medios humanos'!C48</f>
        <v>Puntuación</v>
      </c>
    </row>
    <row r="66" spans="1:4" ht="18" customHeight="1" x14ac:dyDescent="0.3">
      <c r="A66" s="8"/>
      <c r="B66" s="2" t="str">
        <f>+'Medios humanos'!B49</f>
        <v>&gt; 10 proyectos</v>
      </c>
      <c r="C66" s="138"/>
      <c r="D66" s="5">
        <f>+'Medios humanos'!C49*'Resumen global'!$G$22</f>
        <v>0</v>
      </c>
    </row>
    <row r="67" spans="1:4" ht="18" customHeight="1" x14ac:dyDescent="0.3">
      <c r="A67" s="8"/>
      <c r="B67" s="2" t="str">
        <f>+'Medios humanos'!B50</f>
        <v>Entre 5 y 10 proyectos</v>
      </c>
      <c r="C67" s="138"/>
      <c r="D67" s="5">
        <f>+'Medios humanos'!C50*'Resumen global'!$G$22</f>
        <v>0</v>
      </c>
    </row>
    <row r="68" spans="1:4" ht="18" customHeight="1" x14ac:dyDescent="0.3">
      <c r="B68" s="2" t="str">
        <f>+'Medios humanos'!B51</f>
        <v>3 ó 4 proyectos</v>
      </c>
      <c r="C68" s="138"/>
      <c r="D68" s="5">
        <f>+'Medios humanos'!C51*'Resumen global'!$G$22</f>
        <v>0</v>
      </c>
    </row>
    <row r="69" spans="1:4" ht="18" customHeight="1" x14ac:dyDescent="0.3">
      <c r="B69" s="2" t="str">
        <f>+'Medios humanos'!B52</f>
        <v>1 ó 2 proyectos</v>
      </c>
      <c r="C69" s="138"/>
      <c r="D69" s="5">
        <f>+'Medios humanos'!C52*'Resumen global'!$G$22</f>
        <v>0</v>
      </c>
    </row>
    <row r="70" spans="1:4" ht="18" customHeight="1" x14ac:dyDescent="0.3">
      <c r="A70" s="8"/>
      <c r="B70" s="2" t="str">
        <f>+'Medios humanos'!B53</f>
        <v>Sin proyectos</v>
      </c>
      <c r="C70" s="138"/>
      <c r="D70" s="5">
        <f>+'Medios humanos'!C53*'Resumen global'!$G$22</f>
        <v>0</v>
      </c>
    </row>
    <row r="71" spans="1:4" ht="18" customHeight="1" x14ac:dyDescent="0.3">
      <c r="A71" s="8"/>
      <c r="B71" s="202" t="str">
        <f>+'Medios humanos'!B54</f>
        <v>Máximo</v>
      </c>
      <c r="C71" s="203"/>
      <c r="D71" s="113">
        <f>MAX(D66:D70)</f>
        <v>0</v>
      </c>
    </row>
    <row r="72" spans="1:4" ht="18" customHeight="1" x14ac:dyDescent="0.3">
      <c r="A72" s="8"/>
      <c r="B72" s="35" t="str">
        <f>+'Medios humanos'!B55</f>
        <v xml:space="preserve">Nº de años en esos proyectos </v>
      </c>
      <c r="C72" s="140"/>
      <c r="D72" s="36" t="str">
        <f>+'Medios humanos'!C55</f>
        <v>Puntuación</v>
      </c>
    </row>
    <row r="73" spans="1:4" ht="18" customHeight="1" x14ac:dyDescent="0.3">
      <c r="A73" s="8"/>
      <c r="B73" s="2" t="str">
        <f>+'Medios humanos'!B56</f>
        <v>&gt; 10 años</v>
      </c>
      <c r="C73" s="138"/>
      <c r="D73" s="5">
        <f>+'Medios humanos'!C56*'Resumen global'!$G$22</f>
        <v>0</v>
      </c>
    </row>
    <row r="74" spans="1:4" ht="18" customHeight="1" x14ac:dyDescent="0.3">
      <c r="A74" s="8"/>
      <c r="B74" s="2" t="str">
        <f>+'Medios humanos'!B57</f>
        <v>&gt; de 5 y &lt;= a 10 años</v>
      </c>
      <c r="C74" s="138"/>
      <c r="D74" s="5">
        <f>+'Medios humanos'!C57*'Resumen global'!$G$22</f>
        <v>0</v>
      </c>
    </row>
    <row r="75" spans="1:4" ht="18" customHeight="1" x14ac:dyDescent="0.3">
      <c r="A75" s="8"/>
      <c r="B75" s="2" t="str">
        <f>+'Medios humanos'!B58</f>
        <v>&gt; de 3 y &lt;= a 5 años</v>
      </c>
      <c r="C75" s="138"/>
      <c r="D75" s="5">
        <f>+'Medios humanos'!C58*'Resumen global'!$G$22</f>
        <v>0</v>
      </c>
    </row>
    <row r="76" spans="1:4" ht="18" customHeight="1" x14ac:dyDescent="0.3">
      <c r="B76" s="2" t="str">
        <f>+'Medios humanos'!B59</f>
        <v>&lt;= de 3 años</v>
      </c>
      <c r="C76" s="138"/>
      <c r="D76" s="5">
        <f>+'Medios humanos'!C59*'Resumen global'!$G$22</f>
        <v>0</v>
      </c>
    </row>
    <row r="77" spans="1:4" ht="18" customHeight="1" x14ac:dyDescent="0.3">
      <c r="A77" s="8"/>
      <c r="B77" s="202" t="str">
        <f>+'Medios humanos'!B60</f>
        <v>Máximo</v>
      </c>
      <c r="C77" s="203"/>
      <c r="D77" s="113">
        <f>MAX(D73:D76)</f>
        <v>0</v>
      </c>
    </row>
    <row r="78" spans="1:4" ht="18" customHeight="1" x14ac:dyDescent="0.3">
      <c r="A78" s="136" t="s">
        <v>48</v>
      </c>
      <c r="B78" s="35" t="str">
        <f>+'Medios humanos'!B48</f>
        <v>Nº de proyectos en tecnología</v>
      </c>
      <c r="C78" s="140">
        <f>+'Resumen global'!$E$23</f>
        <v>0</v>
      </c>
      <c r="D78" s="36" t="str">
        <f>+'Medios humanos'!C48</f>
        <v>Puntuación</v>
      </c>
    </row>
    <row r="79" spans="1:4" ht="18" customHeight="1" x14ac:dyDescent="0.3">
      <c r="A79" s="8"/>
      <c r="B79" s="2" t="str">
        <f>+'Medios humanos'!B49</f>
        <v>&gt; 10 proyectos</v>
      </c>
      <c r="C79" s="138"/>
      <c r="D79" s="5">
        <f>+'Medios humanos'!C49*'Resumen global'!$G$23</f>
        <v>0</v>
      </c>
    </row>
    <row r="80" spans="1:4" ht="18" customHeight="1" x14ac:dyDescent="0.3">
      <c r="A80" s="8"/>
      <c r="B80" s="2" t="str">
        <f>+'Medios humanos'!B50</f>
        <v>Entre 5 y 10 proyectos</v>
      </c>
      <c r="C80" s="138"/>
      <c r="D80" s="5">
        <f>+'Medios humanos'!C50*'Resumen global'!$G$23</f>
        <v>0</v>
      </c>
    </row>
    <row r="81" spans="1:5" ht="18" customHeight="1" x14ac:dyDescent="0.3">
      <c r="B81" s="2" t="str">
        <f>+'Medios humanos'!B51</f>
        <v>3 ó 4 proyectos</v>
      </c>
      <c r="C81" s="138"/>
      <c r="D81" s="5">
        <f>+'Medios humanos'!C51*'Resumen global'!$G$23</f>
        <v>0</v>
      </c>
    </row>
    <row r="82" spans="1:5" ht="18" customHeight="1" x14ac:dyDescent="0.3">
      <c r="B82" s="2" t="str">
        <f>+'Medios humanos'!B52</f>
        <v>1 ó 2 proyectos</v>
      </c>
      <c r="C82" s="138"/>
      <c r="D82" s="5">
        <f>+'Medios humanos'!C52*'Resumen global'!$G$23</f>
        <v>0</v>
      </c>
    </row>
    <row r="83" spans="1:5" ht="18" customHeight="1" x14ac:dyDescent="0.3">
      <c r="A83" s="8"/>
      <c r="B83" s="2" t="str">
        <f>+'Medios humanos'!B53</f>
        <v>Sin proyectos</v>
      </c>
      <c r="C83" s="138"/>
      <c r="D83" s="5">
        <f>+'Medios humanos'!C53*'Resumen global'!$G$23</f>
        <v>0</v>
      </c>
    </row>
    <row r="84" spans="1:5" ht="18" customHeight="1" x14ac:dyDescent="0.3">
      <c r="A84" s="8"/>
      <c r="B84" s="202" t="str">
        <f>+'Medios humanos'!B54</f>
        <v>Máximo</v>
      </c>
      <c r="C84" s="203"/>
      <c r="D84" s="113">
        <f>MAX(D79:D83)</f>
        <v>0</v>
      </c>
    </row>
    <row r="85" spans="1:5" ht="18" customHeight="1" x14ac:dyDescent="0.3">
      <c r="A85" s="8"/>
      <c r="B85" s="35" t="str">
        <f>+'Medios humanos'!B55</f>
        <v xml:space="preserve">Nº de años en esos proyectos </v>
      </c>
      <c r="C85" s="140"/>
      <c r="D85" s="36" t="str">
        <f>+'Medios humanos'!C55</f>
        <v>Puntuación</v>
      </c>
    </row>
    <row r="86" spans="1:5" ht="18" customHeight="1" x14ac:dyDescent="0.3">
      <c r="A86" s="8"/>
      <c r="B86" s="2" t="str">
        <f>+'Medios humanos'!B56</f>
        <v>&gt; 10 años</v>
      </c>
      <c r="C86" s="138"/>
      <c r="D86" s="5">
        <f>+'Medios humanos'!C56*'Resumen global'!$G$23</f>
        <v>0</v>
      </c>
    </row>
    <row r="87" spans="1:5" ht="18" customHeight="1" x14ac:dyDescent="0.3">
      <c r="A87" s="8"/>
      <c r="B87" s="2" t="str">
        <f>+'Medios humanos'!B57</f>
        <v>&gt; de 5 y &lt;= a 10 años</v>
      </c>
      <c r="C87" s="138"/>
      <c r="D87" s="5">
        <f>+'Medios humanos'!C57*'Resumen global'!$G$23</f>
        <v>0</v>
      </c>
    </row>
    <row r="88" spans="1:5" ht="18" customHeight="1" x14ac:dyDescent="0.3">
      <c r="A88" s="8"/>
      <c r="B88" s="2" t="str">
        <f>+'Medios humanos'!B58</f>
        <v>&gt; de 3 y &lt;= a 5 años</v>
      </c>
      <c r="C88" s="138"/>
      <c r="D88" s="5">
        <f>+'Medios humanos'!C58*'Resumen global'!$G$23</f>
        <v>0</v>
      </c>
    </row>
    <row r="89" spans="1:5" ht="18" customHeight="1" x14ac:dyDescent="0.3">
      <c r="B89" s="2" t="str">
        <f>+'Medios humanos'!B59</f>
        <v>&lt;= de 3 años</v>
      </c>
      <c r="C89" s="138"/>
      <c r="D89" s="5">
        <f>+'Medios humanos'!C59*'Resumen global'!$G$23</f>
        <v>0</v>
      </c>
    </row>
    <row r="90" spans="1:5" ht="18" customHeight="1" x14ac:dyDescent="0.3">
      <c r="A90" s="8"/>
      <c r="B90" s="202" t="str">
        <f>+'Medios humanos'!B60</f>
        <v>Máximo</v>
      </c>
      <c r="C90" s="203"/>
      <c r="D90" s="113">
        <f>MAX(D86:D89)</f>
        <v>0</v>
      </c>
    </row>
    <row r="91" spans="1:5" ht="18" customHeight="1" x14ac:dyDescent="0.3">
      <c r="A91" s="8"/>
      <c r="B91" s="208" t="s">
        <v>49</v>
      </c>
      <c r="C91" s="208"/>
      <c r="D91" s="209"/>
      <c r="E91" s="129">
        <f>+D45+D51+D58+D64+D71+D77+D84+D90</f>
        <v>0</v>
      </c>
    </row>
    <row r="92" spans="1:5" ht="18" customHeight="1" x14ac:dyDescent="0.3">
      <c r="A92" s="8"/>
    </row>
    <row r="93" spans="1:5" ht="18" customHeight="1" x14ac:dyDescent="0.3">
      <c r="A93" s="8"/>
      <c r="B93" s="210" t="s">
        <v>50</v>
      </c>
      <c r="C93" s="210"/>
      <c r="D93" s="211"/>
      <c r="E93" s="135">
        <f>SUM(E16:E91)</f>
        <v>5</v>
      </c>
    </row>
    <row r="94" spans="1:5" ht="18" customHeight="1" x14ac:dyDescent="0.3"/>
    <row r="95" spans="1:5" ht="18" customHeight="1" x14ac:dyDescent="0.3"/>
    <row r="96" spans="1:5" hidden="1" x14ac:dyDescent="0.3">
      <c r="B96" s="178" t="s">
        <v>51</v>
      </c>
    </row>
    <row r="97" spans="2:2" hidden="1" x14ac:dyDescent="0.3">
      <c r="B97" s="49" t="s">
        <v>52</v>
      </c>
    </row>
    <row r="98" spans="2:2" hidden="1" x14ac:dyDescent="0.3">
      <c r="B98" s="49" t="s">
        <v>53</v>
      </c>
    </row>
    <row r="99" spans="2:2" hidden="1" x14ac:dyDescent="0.3"/>
  </sheetData>
  <sheetProtection selectLockedCells="1"/>
  <mergeCells count="17">
    <mergeCell ref="B84:C84"/>
    <mergeCell ref="B16:D16"/>
    <mergeCell ref="B38:D38"/>
    <mergeCell ref="B91:D91"/>
    <mergeCell ref="B93:D93"/>
    <mergeCell ref="B45:C45"/>
    <mergeCell ref="B90:C90"/>
    <mergeCell ref="B51:C51"/>
    <mergeCell ref="B58:C58"/>
    <mergeCell ref="B64:C64"/>
    <mergeCell ref="B71:C71"/>
    <mergeCell ref="B77:C77"/>
    <mergeCell ref="B8:C8"/>
    <mergeCell ref="B15:C15"/>
    <mergeCell ref="B23:C23"/>
    <mergeCell ref="B30:C30"/>
    <mergeCell ref="B37:C37"/>
  </mergeCells>
  <pageMargins left="0.7" right="0.7" top="0.75" bottom="0.75" header="0.3" footer="0.3"/>
  <pageSetup paperSize="9" orientation="portrait" verticalDpi="0" r:id="rId1"/>
  <ignoredErrors>
    <ignoredError sqref="A17 A24 A3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39C43-9A3E-417B-BA28-0B311D9702C5}">
  <sheetPr codeName="Hoja2">
    <pageSetUpPr fitToPage="1"/>
  </sheetPr>
  <dimension ref="B1:T67"/>
  <sheetViews>
    <sheetView showGridLines="0" zoomScale="80" zoomScaleNormal="80" workbookViewId="0">
      <selection activeCell="M34" sqref="M34"/>
    </sheetView>
  </sheetViews>
  <sheetFormatPr baseColWidth="10" defaultColWidth="11.44140625" defaultRowHeight="14.4" x14ac:dyDescent="0.3"/>
  <cols>
    <col min="1" max="1" width="5.6640625" customWidth="1"/>
    <col min="2" max="2" width="7.109375" customWidth="1"/>
    <col min="3" max="3" width="17.44140625" customWidth="1"/>
    <col min="4" max="4" width="34.5546875" customWidth="1"/>
    <col min="5" max="5" width="41.6640625" customWidth="1"/>
    <col min="6" max="6" width="21.44140625" hidden="1" customWidth="1"/>
    <col min="7" max="7" width="23.44140625" customWidth="1"/>
    <col min="8" max="8" width="19.6640625" customWidth="1"/>
    <col min="9" max="9" width="25.6640625" customWidth="1"/>
    <col min="10" max="10" width="30.5546875" customWidth="1"/>
    <col min="11" max="11" width="18.109375" customWidth="1"/>
    <col min="12" max="12" width="16.44140625" hidden="1" customWidth="1"/>
    <col min="13" max="13" width="22.33203125" customWidth="1"/>
    <col min="14" max="14" width="24.33203125" customWidth="1"/>
    <col min="15" max="15" width="8.88671875" customWidth="1"/>
    <col min="16" max="16" width="20.88671875" hidden="1" customWidth="1"/>
    <col min="17" max="17" width="21.5546875" hidden="1" customWidth="1"/>
    <col min="18" max="18" width="16.6640625" hidden="1" customWidth="1"/>
    <col min="19" max="19" width="15.88671875" hidden="1" customWidth="1"/>
    <col min="20" max="20" width="17.6640625" hidden="1" customWidth="1"/>
    <col min="21" max="21" width="11.44140625" customWidth="1"/>
  </cols>
  <sheetData>
    <row r="1" spans="2:14" ht="15" thickBot="1" x14ac:dyDescent="0.35"/>
    <row r="2" spans="2:14" x14ac:dyDescent="0.3">
      <c r="B2" s="77"/>
      <c r="C2" s="78"/>
      <c r="D2" s="78"/>
      <c r="E2" s="78"/>
      <c r="F2" s="78"/>
      <c r="G2" s="78"/>
      <c r="H2" s="78"/>
      <c r="I2" s="78"/>
      <c r="J2" s="79"/>
      <c r="K2" s="78"/>
      <c r="L2" s="78"/>
      <c r="M2" s="78"/>
      <c r="N2" s="80"/>
    </row>
    <row r="3" spans="2:14" x14ac:dyDescent="0.3">
      <c r="B3" s="81"/>
      <c r="C3" s="224" t="s">
        <v>54</v>
      </c>
      <c r="D3" s="225"/>
      <c r="E3" s="226"/>
      <c r="F3" s="82"/>
      <c r="G3" s="82"/>
      <c r="H3" s="82"/>
      <c r="I3" s="82"/>
      <c r="K3" s="82"/>
      <c r="L3" s="82"/>
      <c r="M3" s="82"/>
      <c r="N3" s="83"/>
    </row>
    <row r="4" spans="2:14" x14ac:dyDescent="0.3">
      <c r="B4" s="81"/>
      <c r="C4" s="222" t="s">
        <v>55</v>
      </c>
      <c r="D4" s="223"/>
      <c r="E4" s="84" t="s">
        <v>387</v>
      </c>
      <c r="F4" s="82"/>
      <c r="G4" s="82"/>
      <c r="H4" s="82"/>
      <c r="I4" s="82"/>
      <c r="K4" s="82"/>
      <c r="L4" s="82"/>
      <c r="M4" s="82"/>
      <c r="N4" s="83"/>
    </row>
    <row r="5" spans="2:14" x14ac:dyDescent="0.3">
      <c r="B5" s="81"/>
      <c r="C5" s="222" t="s">
        <v>56</v>
      </c>
      <c r="D5" s="223"/>
      <c r="E5" s="85" t="s">
        <v>200</v>
      </c>
      <c r="F5" s="86" t="str">
        <f>MID(E5,1,1)</f>
        <v>1</v>
      </c>
      <c r="G5" s="82"/>
      <c r="H5" s="82"/>
      <c r="I5" s="82"/>
      <c r="J5" s="82"/>
      <c r="N5" s="83"/>
    </row>
    <row r="6" spans="2:14" x14ac:dyDescent="0.3">
      <c r="B6" s="81"/>
      <c r="C6" s="222" t="s">
        <v>57</v>
      </c>
      <c r="D6" s="223"/>
      <c r="E6" s="85" t="s">
        <v>203</v>
      </c>
      <c r="F6" s="86"/>
      <c r="G6" s="82"/>
      <c r="H6" s="82"/>
      <c r="I6" s="82"/>
      <c r="J6" s="82"/>
      <c r="N6" s="83"/>
    </row>
    <row r="7" spans="2:14" x14ac:dyDescent="0.3">
      <c r="B7" s="81"/>
      <c r="C7" s="222" t="s">
        <v>58</v>
      </c>
      <c r="D7" s="223"/>
      <c r="E7" s="87" t="s">
        <v>236</v>
      </c>
      <c r="F7" s="86" t="str">
        <f>MID(E7,1,1)</f>
        <v>A</v>
      </c>
      <c r="G7" s="10"/>
      <c r="H7" s="82"/>
      <c r="I7" s="82"/>
      <c r="K7" s="82"/>
      <c r="L7" s="82"/>
      <c r="M7" s="82"/>
      <c r="N7" s="83"/>
    </row>
    <row r="8" spans="2:14" x14ac:dyDescent="0.3">
      <c r="B8" s="81"/>
      <c r="C8" s="216" t="s">
        <v>59</v>
      </c>
      <c r="D8" s="216"/>
      <c r="E8" s="88">
        <v>48100</v>
      </c>
      <c r="F8" s="82" t="s">
        <v>60</v>
      </c>
      <c r="G8" s="82" t="s">
        <v>60</v>
      </c>
      <c r="H8" s="82"/>
      <c r="I8" s="82"/>
      <c r="K8" s="82"/>
      <c r="L8" s="82"/>
      <c r="M8" s="82"/>
      <c r="N8" s="83"/>
    </row>
    <row r="9" spans="2:14" x14ac:dyDescent="0.3">
      <c r="B9" s="81"/>
      <c r="C9" s="216" t="s">
        <v>61</v>
      </c>
      <c r="D9" s="216"/>
      <c r="E9" s="84" t="str">
        <f>IF(E7="","",IF(E7="Proyecto cerrado",Precio_oferta,Precio_hora))</f>
        <v>Precio hora</v>
      </c>
      <c r="F9" s="82"/>
      <c r="G9" s="82"/>
      <c r="H9" s="82"/>
      <c r="I9" s="82"/>
      <c r="K9" s="82"/>
      <c r="L9" s="82"/>
      <c r="M9" s="82"/>
      <c r="N9" s="83"/>
    </row>
    <row r="10" spans="2:14" ht="144" customHeight="1" x14ac:dyDescent="0.3">
      <c r="B10" s="81"/>
      <c r="C10" s="236" t="s">
        <v>62</v>
      </c>
      <c r="D10" s="237"/>
      <c r="E10" s="238" t="s">
        <v>241</v>
      </c>
      <c r="F10" s="239"/>
      <c r="G10" s="239"/>
      <c r="H10" s="239"/>
      <c r="I10" s="239"/>
      <c r="J10" s="240"/>
      <c r="K10" s="82"/>
      <c r="L10" s="82"/>
      <c r="M10" s="82"/>
      <c r="N10" s="83"/>
    </row>
    <row r="11" spans="2:14" x14ac:dyDescent="0.3">
      <c r="B11" s="81"/>
      <c r="C11" s="82"/>
      <c r="D11" s="82"/>
      <c r="E11" s="82"/>
      <c r="F11" s="82"/>
      <c r="G11" s="82"/>
      <c r="H11" s="82"/>
      <c r="I11" s="82"/>
      <c r="K11" s="82"/>
      <c r="L11" s="82"/>
      <c r="M11" s="82"/>
      <c r="N11" s="83"/>
    </row>
    <row r="12" spans="2:14" x14ac:dyDescent="0.3">
      <c r="B12" s="81"/>
      <c r="C12" s="224" t="s">
        <v>63</v>
      </c>
      <c r="D12" s="225"/>
      <c r="E12" s="226"/>
      <c r="F12" s="82"/>
      <c r="G12" s="89"/>
      <c r="H12" s="82"/>
      <c r="I12" s="82"/>
      <c r="K12" s="82"/>
      <c r="L12" s="82"/>
      <c r="M12" s="82"/>
      <c r="N12" s="83"/>
    </row>
    <row r="13" spans="2:14" hidden="1" x14ac:dyDescent="0.3">
      <c r="B13" s="81"/>
      <c r="C13" s="230" t="s">
        <v>64</v>
      </c>
      <c r="D13" s="231"/>
      <c r="E13" s="39"/>
      <c r="F13" s="82"/>
      <c r="G13" s="82"/>
      <c r="H13" s="82"/>
      <c r="I13" s="82"/>
      <c r="J13" s="82"/>
      <c r="K13" s="82"/>
      <c r="L13" s="82"/>
      <c r="M13" s="82"/>
      <c r="N13" s="83"/>
    </row>
    <row r="14" spans="2:14" x14ac:dyDescent="0.3">
      <c r="B14" s="81"/>
      <c r="C14" s="232" t="s">
        <v>65</v>
      </c>
      <c r="D14" s="233"/>
      <c r="E14" s="39">
        <v>0.2</v>
      </c>
      <c r="F14" s="217" t="str">
        <f>IF(AND(E14&lt;&gt;"",E14&lt;20%),"ERROR - EL PORCENTAJE MÍNIMO PARA EL PRECIO ES DEL 20%","")</f>
        <v/>
      </c>
      <c r="G14" s="217"/>
      <c r="H14" s="217"/>
      <c r="I14" s="217"/>
      <c r="J14" s="217"/>
      <c r="K14" s="82"/>
      <c r="L14" s="82"/>
      <c r="M14" s="82"/>
      <c r="N14" s="83"/>
    </row>
    <row r="15" spans="2:14" x14ac:dyDescent="0.3">
      <c r="B15" s="81"/>
      <c r="C15" s="232" t="s">
        <v>66</v>
      </c>
      <c r="D15" s="233"/>
      <c r="E15" s="39">
        <v>0.31</v>
      </c>
      <c r="F15" s="82"/>
      <c r="G15" s="82"/>
      <c r="H15" s="82"/>
      <c r="I15" s="82"/>
      <c r="J15" s="82"/>
      <c r="K15" s="82"/>
      <c r="L15" s="82"/>
      <c r="M15" s="82"/>
      <c r="N15" s="83"/>
    </row>
    <row r="16" spans="2:14" x14ac:dyDescent="0.3">
      <c r="B16" s="81"/>
      <c r="C16" s="234" t="s">
        <v>67</v>
      </c>
      <c r="D16" s="235"/>
      <c r="E16" s="39">
        <v>0.49</v>
      </c>
      <c r="F16" s="82"/>
      <c r="G16" s="82"/>
      <c r="H16" s="82"/>
      <c r="I16" s="82"/>
      <c r="J16" s="82"/>
      <c r="K16" s="82"/>
      <c r="L16" s="82"/>
      <c r="M16" s="82"/>
      <c r="N16" s="83"/>
    </row>
    <row r="17" spans="2:14" x14ac:dyDescent="0.3">
      <c r="B17" s="81"/>
      <c r="C17" s="214" t="s">
        <v>68</v>
      </c>
      <c r="D17" s="215"/>
      <c r="E17" s="90">
        <f>SUM(E13:E16)</f>
        <v>1</v>
      </c>
      <c r="F17" s="217" t="str">
        <f>IF(E17=100%,"","ERROR NO SUMA 100%")</f>
        <v/>
      </c>
      <c r="G17" s="217"/>
      <c r="H17" s="217"/>
      <c r="I17" s="217"/>
      <c r="J17" s="217"/>
      <c r="K17" s="82"/>
      <c r="L17" s="82"/>
      <c r="M17" s="82"/>
      <c r="N17" s="83"/>
    </row>
    <row r="18" spans="2:14" x14ac:dyDescent="0.3">
      <c r="B18" s="81"/>
      <c r="C18" s="91"/>
      <c r="D18" s="91"/>
      <c r="E18" s="91"/>
      <c r="F18" s="92"/>
      <c r="G18" s="92"/>
      <c r="L18" s="82"/>
      <c r="M18" s="82"/>
      <c r="N18" s="83"/>
    </row>
    <row r="19" spans="2:14" ht="28.8" hidden="1" x14ac:dyDescent="0.3">
      <c r="B19" s="81"/>
      <c r="C19" s="227" t="s">
        <v>69</v>
      </c>
      <c r="D19" s="228"/>
      <c r="E19" s="228"/>
      <c r="F19" s="229"/>
      <c r="G19" s="93" t="s">
        <v>70</v>
      </c>
      <c r="H19" s="92"/>
      <c r="I19" s="220" t="s">
        <v>71</v>
      </c>
      <c r="J19" s="221"/>
      <c r="K19" s="93" t="s">
        <v>70</v>
      </c>
      <c r="L19" s="94"/>
      <c r="M19" s="94"/>
      <c r="N19" s="83"/>
    </row>
    <row r="20" spans="2:14" hidden="1" x14ac:dyDescent="0.3">
      <c r="B20" s="81"/>
      <c r="C20" s="216" t="s">
        <v>72</v>
      </c>
      <c r="D20" s="216"/>
      <c r="E20" s="218"/>
      <c r="F20" s="219"/>
      <c r="G20" s="95"/>
      <c r="H20" s="92"/>
      <c r="I20" s="216" t="s">
        <v>73</v>
      </c>
      <c r="J20" s="216"/>
      <c r="K20" s="39">
        <v>0.2</v>
      </c>
      <c r="L20" s="96"/>
      <c r="M20" s="96"/>
      <c r="N20" s="83"/>
    </row>
    <row r="21" spans="2:14" hidden="1" x14ac:dyDescent="0.3">
      <c r="B21" s="81"/>
      <c r="C21" s="216" t="s">
        <v>74</v>
      </c>
      <c r="D21" s="216"/>
      <c r="E21" s="218"/>
      <c r="F21" s="219"/>
      <c r="G21" s="95"/>
      <c r="H21" s="92"/>
      <c r="I21" s="216" t="s">
        <v>75</v>
      </c>
      <c r="J21" s="216"/>
      <c r="K21" s="39">
        <v>0.5</v>
      </c>
      <c r="L21" s="96"/>
      <c r="M21" s="96"/>
      <c r="N21" s="83"/>
    </row>
    <row r="22" spans="2:14" hidden="1" x14ac:dyDescent="0.3">
      <c r="B22" s="81"/>
      <c r="C22" s="216" t="s">
        <v>76</v>
      </c>
      <c r="D22" s="216"/>
      <c r="E22" s="218"/>
      <c r="F22" s="219"/>
      <c r="G22" s="95"/>
      <c r="H22" s="92"/>
      <c r="I22" s="216" t="s">
        <v>77</v>
      </c>
      <c r="J22" s="216"/>
      <c r="K22" s="39">
        <v>0.3</v>
      </c>
      <c r="L22" s="96"/>
      <c r="M22" s="96"/>
      <c r="N22" s="83"/>
    </row>
    <row r="23" spans="2:14" hidden="1" x14ac:dyDescent="0.3">
      <c r="B23" s="81"/>
      <c r="C23" s="216" t="s">
        <v>78</v>
      </c>
      <c r="D23" s="216"/>
      <c r="E23" s="218"/>
      <c r="F23" s="219"/>
      <c r="G23" s="95"/>
      <c r="H23" s="82"/>
      <c r="I23" s="214" t="s">
        <v>68</v>
      </c>
      <c r="J23" s="215"/>
      <c r="K23" s="97">
        <f>SUM(K19:K22)</f>
        <v>1</v>
      </c>
      <c r="L23" s="96"/>
      <c r="M23" s="96"/>
      <c r="N23" s="83"/>
    </row>
    <row r="24" spans="2:14" hidden="1" x14ac:dyDescent="0.3">
      <c r="B24" s="81"/>
      <c r="C24" s="10"/>
      <c r="D24" s="10"/>
      <c r="E24" s="214"/>
      <c r="F24" s="215"/>
      <c r="G24" s="97">
        <f>SUM(G20:G23)</f>
        <v>0</v>
      </c>
      <c r="H24" s="82"/>
      <c r="L24" s="82"/>
      <c r="M24" s="82"/>
      <c r="N24" s="83"/>
    </row>
    <row r="25" spans="2:14" hidden="1" x14ac:dyDescent="0.3">
      <c r="B25" s="81"/>
      <c r="C25" s="10"/>
      <c r="D25" s="10"/>
      <c r="E25" s="10"/>
      <c r="F25" s="10"/>
      <c r="G25" s="10"/>
      <c r="H25" s="82"/>
      <c r="L25" s="82"/>
      <c r="M25" s="82"/>
      <c r="N25" s="83"/>
    </row>
    <row r="26" spans="2:14" hidden="1" x14ac:dyDescent="0.3">
      <c r="B26" s="81"/>
      <c r="C26" s="227" t="s">
        <v>79</v>
      </c>
      <c r="D26" s="228"/>
      <c r="E26" s="228"/>
      <c r="F26" s="229"/>
      <c r="G26" s="93" t="s">
        <v>70</v>
      </c>
      <c r="H26" s="92"/>
      <c r="L26" s="94"/>
      <c r="M26" s="94"/>
      <c r="N26" s="83"/>
    </row>
    <row r="27" spans="2:14" hidden="1" x14ac:dyDescent="0.3">
      <c r="B27" s="81"/>
      <c r="C27" s="216" t="s">
        <v>80</v>
      </c>
      <c r="D27" s="216"/>
      <c r="E27" s="218"/>
      <c r="F27" s="219"/>
      <c r="G27" s="95"/>
      <c r="H27" s="92"/>
      <c r="L27" s="96"/>
      <c r="M27" s="96"/>
      <c r="N27" s="83"/>
    </row>
    <row r="28" spans="2:14" hidden="1" x14ac:dyDescent="0.3">
      <c r="B28" s="81"/>
      <c r="C28" s="216" t="s">
        <v>81</v>
      </c>
      <c r="D28" s="216"/>
      <c r="E28" s="218"/>
      <c r="F28" s="219"/>
      <c r="G28" s="95"/>
      <c r="H28" s="92"/>
      <c r="L28" s="96"/>
      <c r="M28" s="96"/>
      <c r="N28" s="83"/>
    </row>
    <row r="29" spans="2:14" hidden="1" x14ac:dyDescent="0.3">
      <c r="B29" s="81"/>
      <c r="C29" s="216" t="s">
        <v>82</v>
      </c>
      <c r="D29" s="216"/>
      <c r="E29" s="218"/>
      <c r="F29" s="219"/>
      <c r="G29" s="95"/>
      <c r="H29" s="92"/>
      <c r="L29" s="96"/>
      <c r="M29" s="96"/>
      <c r="N29" s="83"/>
    </row>
    <row r="30" spans="2:14" hidden="1" x14ac:dyDescent="0.3">
      <c r="B30" s="81"/>
      <c r="C30" s="10"/>
      <c r="D30" s="10"/>
      <c r="E30" s="214"/>
      <c r="F30" s="215"/>
      <c r="G30" s="97">
        <f>SUM(G27:G29)</f>
        <v>0</v>
      </c>
      <c r="H30" s="82"/>
      <c r="L30" s="82"/>
      <c r="M30" s="82"/>
      <c r="N30" s="83"/>
    </row>
    <row r="31" spans="2:14" ht="37.5" customHeight="1" x14ac:dyDescent="0.3">
      <c r="B31" s="81"/>
      <c r="C31" s="10"/>
      <c r="D31" s="10"/>
      <c r="E31" s="98"/>
      <c r="F31" s="98"/>
      <c r="G31" s="82"/>
      <c r="J31" s="241" t="s">
        <v>83</v>
      </c>
      <c r="K31" s="242"/>
      <c r="L31" s="152"/>
      <c r="M31" s="94"/>
      <c r="N31" s="83"/>
    </row>
    <row r="32" spans="2:14" ht="43.2" x14ac:dyDescent="0.3">
      <c r="B32" s="81"/>
      <c r="C32" s="220" t="s">
        <v>84</v>
      </c>
      <c r="D32" s="221"/>
      <c r="E32" s="99" t="s">
        <v>85</v>
      </c>
      <c r="F32" s="100" t="s">
        <v>86</v>
      </c>
      <c r="G32" s="100" t="s">
        <v>87</v>
      </c>
      <c r="H32" s="93" t="s">
        <v>88</v>
      </c>
      <c r="I32" s="93" t="s">
        <v>89</v>
      </c>
      <c r="J32" s="93" t="s">
        <v>90</v>
      </c>
      <c r="K32" s="93" t="s">
        <v>91</v>
      </c>
      <c r="L32" s="94"/>
      <c r="M32" s="94"/>
      <c r="N32" s="83"/>
    </row>
    <row r="33" spans="2:20" x14ac:dyDescent="0.3">
      <c r="B33" s="81"/>
      <c r="C33" s="216" t="s">
        <v>92</v>
      </c>
      <c r="D33" s="216"/>
      <c r="E33" s="101" t="s">
        <v>218</v>
      </c>
      <c r="F33" s="102">
        <f>IFERROR(VLOOKUP(E33,Homologación!$C$51:$E$62,3,FALSE),"")</f>
        <v>0.8</v>
      </c>
      <c r="G33" s="5">
        <f>IFERROR(VLOOKUP(E33,Homologación!$C$51:$D$62,2,FALSE),"")</f>
        <v>37</v>
      </c>
      <c r="H33" s="39">
        <f>IFERROR(F33/SUM($F$33:$F$39),"")</f>
        <v>1</v>
      </c>
      <c r="I33" s="5">
        <f>IFERROR(G33*H33,"")</f>
        <v>37</v>
      </c>
      <c r="J33" s="103"/>
      <c r="K33" s="103"/>
      <c r="L33" s="104"/>
      <c r="M33" s="94"/>
      <c r="N33" s="83"/>
    </row>
    <row r="34" spans="2:20" x14ac:dyDescent="0.3">
      <c r="B34" s="81"/>
      <c r="C34" s="216" t="s">
        <v>93</v>
      </c>
      <c r="D34" s="216"/>
      <c r="E34" s="101"/>
      <c r="F34" s="102" t="str">
        <f>IFERROR(VLOOKUP(E34,Homologación!$C$51:$E$62,3,FALSE),"")</f>
        <v/>
      </c>
      <c r="G34" s="5" t="str">
        <f>IFERROR(VLOOKUP(E34,Homologación!$C$51:$D$62,2,FALSE),"")</f>
        <v/>
      </c>
      <c r="H34" s="39" t="str">
        <f t="shared" ref="H34:H39" si="0">IFERROR(F34/SUM($F$33:$F$39),"")</f>
        <v/>
      </c>
      <c r="I34" s="5" t="str">
        <f t="shared" ref="I34:I39" si="1">IFERROR(G34*H34,"")</f>
        <v/>
      </c>
      <c r="J34" s="103"/>
      <c r="K34" s="103"/>
      <c r="L34" s="104"/>
      <c r="M34" s="94"/>
      <c r="N34" s="83"/>
    </row>
    <row r="35" spans="2:20" x14ac:dyDescent="0.3">
      <c r="B35" s="81"/>
      <c r="C35" s="216" t="s">
        <v>94</v>
      </c>
      <c r="D35" s="216"/>
      <c r="E35" s="101"/>
      <c r="F35" s="102" t="str">
        <f>IFERROR(VLOOKUP(E35,Homologación!$C$51:$E$62,3,FALSE),"")</f>
        <v/>
      </c>
      <c r="G35" s="5" t="str">
        <f>IFERROR(VLOOKUP(E35,Homologación!$C$51:$D$62,2,FALSE),"")</f>
        <v/>
      </c>
      <c r="H35" s="39" t="str">
        <f t="shared" si="0"/>
        <v/>
      </c>
      <c r="I35" s="5" t="str">
        <f t="shared" si="1"/>
        <v/>
      </c>
      <c r="J35" s="103"/>
      <c r="K35" s="103"/>
      <c r="L35" s="104"/>
      <c r="M35" s="94"/>
      <c r="N35" s="83"/>
      <c r="P35" s="105" t="s">
        <v>95</v>
      </c>
    </row>
    <row r="36" spans="2:20" x14ac:dyDescent="0.3">
      <c r="B36" s="81"/>
      <c r="C36" s="216" t="s">
        <v>96</v>
      </c>
      <c r="D36" s="216"/>
      <c r="E36" s="101"/>
      <c r="F36" s="102" t="str">
        <f>IFERROR(VLOOKUP(E36,Homologación!$C$51:$E$62,3,FALSE),"")</f>
        <v/>
      </c>
      <c r="G36" s="5" t="str">
        <f>IFERROR(VLOOKUP(E36,Homologación!$C$51:$D$62,2,FALSE),"")</f>
        <v/>
      </c>
      <c r="H36" s="39" t="str">
        <f t="shared" si="0"/>
        <v/>
      </c>
      <c r="I36" s="5" t="str">
        <f t="shared" si="1"/>
        <v/>
      </c>
      <c r="J36" s="103"/>
      <c r="K36" s="103"/>
      <c r="L36" s="104"/>
      <c r="M36" s="94"/>
      <c r="N36" s="83"/>
      <c r="P36" s="243" t="s">
        <v>97</v>
      </c>
      <c r="Q36" s="244"/>
      <c r="R36" s="106">
        <v>0.2</v>
      </c>
    </row>
    <row r="37" spans="2:20" x14ac:dyDescent="0.3">
      <c r="B37" s="81"/>
      <c r="C37" s="216" t="s">
        <v>98</v>
      </c>
      <c r="D37" s="216"/>
      <c r="E37" s="101"/>
      <c r="F37" s="102" t="str">
        <f>IFERROR(VLOOKUP(E37,Homologación!$C$51:$E$62,3,FALSE),"")</f>
        <v/>
      </c>
      <c r="G37" s="5" t="str">
        <f>IFERROR(VLOOKUP(E37,Homologación!$C$51:$D$62,2,FALSE),"")</f>
        <v/>
      </c>
      <c r="H37" s="39" t="str">
        <f t="shared" si="0"/>
        <v/>
      </c>
      <c r="I37" s="5" t="str">
        <f t="shared" si="1"/>
        <v/>
      </c>
      <c r="J37" s="103"/>
      <c r="K37" s="103"/>
      <c r="L37" s="104"/>
      <c r="M37" s="94"/>
      <c r="N37" s="83"/>
      <c r="P37" s="243" t="s">
        <v>99</v>
      </c>
      <c r="Q37" s="244"/>
      <c r="R37" s="107">
        <v>0.5</v>
      </c>
    </row>
    <row r="38" spans="2:20" x14ac:dyDescent="0.3">
      <c r="B38" s="81"/>
      <c r="C38" s="216" t="s">
        <v>100</v>
      </c>
      <c r="D38" s="216"/>
      <c r="E38" s="101"/>
      <c r="F38" s="102" t="str">
        <f>IFERROR(VLOOKUP(E38,Homologación!$C$51:$E$62,3,FALSE),"")</f>
        <v/>
      </c>
      <c r="G38" s="5" t="str">
        <f>IFERROR(VLOOKUP(E38,Homologación!$C$51:$D$62,2,FALSE),"")</f>
        <v/>
      </c>
      <c r="H38" s="39" t="str">
        <f t="shared" si="0"/>
        <v/>
      </c>
      <c r="I38" s="5" t="str">
        <f t="shared" si="1"/>
        <v/>
      </c>
      <c r="J38" s="103"/>
      <c r="K38" s="103"/>
      <c r="L38" s="104"/>
      <c r="M38" s="94"/>
      <c r="N38" s="83"/>
      <c r="P38" s="243" t="s">
        <v>101</v>
      </c>
      <c r="Q38" s="244"/>
      <c r="R38" s="108">
        <v>0.2</v>
      </c>
    </row>
    <row r="39" spans="2:20" x14ac:dyDescent="0.3">
      <c r="B39" s="81"/>
      <c r="C39" s="216" t="s">
        <v>102</v>
      </c>
      <c r="D39" s="216"/>
      <c r="E39" s="101"/>
      <c r="F39" s="102" t="str">
        <f>IFERROR(VLOOKUP(E39,Homologación!$C$51:$E$62,3,FALSE),"")</f>
        <v/>
      </c>
      <c r="G39" s="5" t="str">
        <f>IFERROR(VLOOKUP(E39,Homologación!$C$51:$D$62,2,FALSE),"")</f>
        <v/>
      </c>
      <c r="H39" s="39" t="str">
        <f t="shared" si="0"/>
        <v/>
      </c>
      <c r="I39" s="5" t="str">
        <f t="shared" si="1"/>
        <v/>
      </c>
      <c r="J39" s="103"/>
      <c r="K39" s="103"/>
      <c r="L39" s="104"/>
      <c r="M39" s="94"/>
      <c r="N39" s="83"/>
      <c r="P39" s="243" t="s">
        <v>103</v>
      </c>
      <c r="Q39" s="244"/>
      <c r="R39" s="5">
        <f ca="1">IF(E9=Precio_oferta,MIN(E49:E56),MIN(F49:F56))</f>
        <v>0</v>
      </c>
    </row>
    <row r="40" spans="2:20" x14ac:dyDescent="0.3">
      <c r="B40" s="81"/>
      <c r="H40" s="97">
        <f>SUM(H33:H39)</f>
        <v>1</v>
      </c>
      <c r="I40" s="4">
        <f>SUM(I33:I39)</f>
        <v>37</v>
      </c>
      <c r="J40" s="52">
        <f>SUM(J33:J39)</f>
        <v>0</v>
      </c>
      <c r="K40" s="52">
        <f>SUM(K33:K39)</f>
        <v>0</v>
      </c>
      <c r="L40" s="109"/>
      <c r="M40" s="94"/>
      <c r="N40" s="83"/>
      <c r="P40" s="243" t="str">
        <f>"Oferta con baja igual al " &amp; BAJA_para_otorgar_puntuación_máxima*100</f>
        <v>Oferta con baja igual al 50</v>
      </c>
      <c r="Q40" s="244"/>
      <c r="R40" s="5">
        <f>PrecioMaximo*BAJA_para_otorgar_puntuación_máxima</f>
        <v>18.5</v>
      </c>
    </row>
    <row r="41" spans="2:20" x14ac:dyDescent="0.3">
      <c r="B41" s="81"/>
      <c r="C41" s="110" t="s">
        <v>104</v>
      </c>
      <c r="D41" s="110"/>
      <c r="E41" s="110"/>
      <c r="F41" s="110"/>
      <c r="L41" s="82"/>
      <c r="M41" s="82"/>
      <c r="N41" s="83"/>
      <c r="P41" s="243" t="s">
        <v>105</v>
      </c>
      <c r="Q41" s="244"/>
      <c r="R41" s="28">
        <f ca="1">IFERROR((PrecioMaximo-OfertaMasBaja)/PrecioMaximo,"")</f>
        <v>1</v>
      </c>
    </row>
    <row r="42" spans="2:20" ht="15" customHeight="1" x14ac:dyDescent="0.3">
      <c r="B42" s="81"/>
      <c r="C42" s="245" t="s">
        <v>388</v>
      </c>
      <c r="D42" s="246"/>
      <c r="E42" s="246"/>
      <c r="F42" s="246"/>
      <c r="G42" s="246"/>
      <c r="H42" s="246"/>
      <c r="I42" s="246"/>
      <c r="J42" s="246"/>
      <c r="K42" s="247"/>
      <c r="L42" s="82"/>
      <c r="M42" s="82"/>
      <c r="N42" s="83"/>
      <c r="P42" s="243" t="s">
        <v>106</v>
      </c>
      <c r="Q42" s="244"/>
      <c r="R42" s="5" t="str">
        <f ca="1">IFERROR(IF(E9=Precio_oferta,AVERAGEIF(E49:E56,"&lt;="&amp;PrecioMaximo,E49:E56),AVERAGEIF(F49:F56,"&lt;="&amp;PrecioMaximo,F49:F56)),"")</f>
        <v/>
      </c>
    </row>
    <row r="43" spans="2:20" x14ac:dyDescent="0.3">
      <c r="B43" s="81"/>
      <c r="C43" s="248"/>
      <c r="D43" s="249"/>
      <c r="E43" s="249"/>
      <c r="F43" s="249"/>
      <c r="G43" s="249"/>
      <c r="H43" s="249"/>
      <c r="I43" s="249"/>
      <c r="J43" s="249"/>
      <c r="K43" s="250"/>
      <c r="L43" s="82"/>
      <c r="M43" s="82"/>
      <c r="N43" s="83"/>
      <c r="P43" s="243" t="s">
        <v>101</v>
      </c>
      <c r="Q43" s="244"/>
      <c r="R43" s="5" t="str">
        <f ca="1">IFERROR(R42-R42*BajaDesproporcionada,"")</f>
        <v/>
      </c>
    </row>
    <row r="44" spans="2:20" x14ac:dyDescent="0.3">
      <c r="B44" s="81"/>
      <c r="C44" s="248"/>
      <c r="D44" s="249"/>
      <c r="E44" s="249"/>
      <c r="F44" s="249"/>
      <c r="G44" s="249"/>
      <c r="H44" s="249"/>
      <c r="I44" s="249"/>
      <c r="J44" s="249"/>
      <c r="K44" s="250"/>
      <c r="L44" s="82"/>
      <c r="M44" s="82"/>
      <c r="N44" s="83"/>
      <c r="P44" s="243" t="s">
        <v>107</v>
      </c>
      <c r="Q44" s="244"/>
      <c r="R44" s="5">
        <f>IF(E9=Precio_oferta,$E$8,$I$40)</f>
        <v>37</v>
      </c>
    </row>
    <row r="45" spans="2:20" x14ac:dyDescent="0.3">
      <c r="B45" s="81"/>
      <c r="C45" s="251"/>
      <c r="D45" s="252"/>
      <c r="E45" s="252"/>
      <c r="F45" s="252"/>
      <c r="G45" s="252"/>
      <c r="H45" s="252"/>
      <c r="I45" s="252"/>
      <c r="J45" s="252"/>
      <c r="K45" s="253"/>
      <c r="L45" s="82"/>
      <c r="M45" s="82"/>
      <c r="N45" s="83"/>
      <c r="P45" s="10"/>
      <c r="Q45" s="10"/>
      <c r="R45" s="13"/>
    </row>
    <row r="46" spans="2:20" x14ac:dyDescent="0.3">
      <c r="B46" s="81"/>
      <c r="C46" s="111"/>
      <c r="D46" s="111"/>
      <c r="E46" s="98"/>
      <c r="F46" s="98"/>
      <c r="G46" s="111"/>
      <c r="H46" s="111"/>
      <c r="I46" s="111"/>
      <c r="K46" s="82"/>
      <c r="L46" s="82"/>
      <c r="M46" s="82"/>
      <c r="N46" s="83"/>
      <c r="P46" s="10"/>
      <c r="Q46" s="10"/>
      <c r="R46" s="13"/>
    </row>
    <row r="47" spans="2:20" x14ac:dyDescent="0.3">
      <c r="B47" s="81"/>
      <c r="C47" s="112" t="s">
        <v>108</v>
      </c>
      <c r="D47" s="82"/>
      <c r="G47" s="212" t="s">
        <v>109</v>
      </c>
      <c r="H47" s="213"/>
      <c r="I47" s="213"/>
      <c r="J47" s="213"/>
      <c r="K47" s="213"/>
      <c r="M47" s="177"/>
      <c r="N47" s="83"/>
    </row>
    <row r="48" spans="2:20" ht="19.5" customHeight="1" x14ac:dyDescent="0.3">
      <c r="B48" s="81"/>
      <c r="C48" s="175" t="s">
        <v>110</v>
      </c>
      <c r="D48" s="176" t="s">
        <v>111</v>
      </c>
      <c r="E48" s="3" t="s">
        <v>112</v>
      </c>
      <c r="F48" s="3" t="s">
        <v>113</v>
      </c>
      <c r="G48" s="3" t="s">
        <v>64</v>
      </c>
      <c r="H48" s="3" t="s">
        <v>65</v>
      </c>
      <c r="I48" s="3" t="s">
        <v>66</v>
      </c>
      <c r="J48" s="3" t="s">
        <v>114</v>
      </c>
      <c r="K48" s="3" t="s">
        <v>50</v>
      </c>
      <c r="L48" s="94" t="s">
        <v>115</v>
      </c>
      <c r="M48" s="3" t="s">
        <v>51</v>
      </c>
      <c r="N48" s="83"/>
      <c r="P48" s="3" t="s">
        <v>116</v>
      </c>
      <c r="Q48" s="3" t="s">
        <v>117</v>
      </c>
      <c r="R48" s="3" t="s">
        <v>118</v>
      </c>
      <c r="S48" s="3" t="s">
        <v>119</v>
      </c>
      <c r="T48" s="3" t="s">
        <v>120</v>
      </c>
    </row>
    <row r="49" spans="2:20" x14ac:dyDescent="0.3">
      <c r="B49" s="143">
        <v>1</v>
      </c>
      <c r="C49" s="163" t="str">
        <f>IFERROR(VLOOKUP(CONCATENATE($F$5,"_",B49),Homologación!$A:$C,2,FALSE),"")</f>
        <v>TEKNEI_IT</v>
      </c>
      <c r="D49" s="141" t="str">
        <f>IFERROR(IF(VLOOKUP(L49,Homologación!N:P,3,FALSE)&lt;&gt;0,VLOOKUP(L49,Homologación!N:P,3,FALSE),""),"")</f>
        <v>TEKNEI INFORMATION TECHNOLOGY S.L.</v>
      </c>
      <c r="E49" s="113" t="str" cm="1">
        <f t="array" aca="1" ref="E49" ca="1">IFERROR(INDIRECT(C49&amp;"!B27"),"")</f>
        <v/>
      </c>
      <c r="F49" s="113" t="str" cm="1">
        <f t="array" aca="1" ref="F49" ca="1">IF($E$9=Precio_hora,IFERROR(INDIRECT(C49&amp;"!D37"),""),"")</f>
        <v/>
      </c>
      <c r="G49" s="5" cm="1">
        <f t="array" aca="1" ref="G49" ca="1">IF(C49="","",IF($E$13=0,0,IF(ISREF(INDIRECT(C49&amp;"!AE3")),INDIRECT(C49&amp;"!AN3"),"")))</f>
        <v>0</v>
      </c>
      <c r="H49" s="5" t="str" cm="1">
        <f t="array" aca="1" ref="H49" ca="1">IFERROR(IF(INDIRECT(C49&amp;"!B27")&gt;$E$8,"Supera",S49),"")</f>
        <v/>
      </c>
      <c r="I49" s="5" t="str">
        <f ca="1">IF(C49="","",IF($E$15=0,"",IFERROR(IF(E49&lt;&gt;"",VLOOKUP(CONCATENATE(C49,$F$5),Homologación!$N:$O,2,FALSE),""),"")))</f>
        <v/>
      </c>
      <c r="J49" s="114"/>
      <c r="K49" s="115">
        <f ca="1">IF(C49="","",IF(H49="Supera",H49,IFERROR(G49*$E$13,0)+IFERROR(H49*$E$14,0)+IFERROR(I49*$E$15,0)+IFERROR(J49*$E$16,0)))</f>
        <v>0</v>
      </c>
      <c r="L49" s="116" t="str">
        <f>CONCATENATE(C49,$F$5)</f>
        <v>TEKNEI_IT1</v>
      </c>
      <c r="M49" s="5"/>
      <c r="N49" s="117" t="str">
        <f ca="1">IFERROR(T49,"")</f>
        <v/>
      </c>
      <c r="P49" s="118" t="str">
        <f t="shared" ref="P49:P56" ca="1" si="2">IF($E49="","",IF($E$9="Precio oferta",IF($E49&gt;PrecioMaximo,"Supera",$E49),IF($F49&gt;PrecioMaximo,"Supera",$F49)))</f>
        <v/>
      </c>
      <c r="Q49" s="56" t="str">
        <f t="shared" ref="Q49:Q56" ca="1" si="3">IFERROR(1-(P49/PrecioMaximo),"")</f>
        <v/>
      </c>
      <c r="R49" s="119" t="str">
        <f t="shared" ref="R49:R56" ca="1" si="4">IFERROR(IF(Bmax&gt;BAJA_para_otorgar_puntuación_máxima,100*Q49/Bmax,PuntosPrecio*10*100*Q49),"")</f>
        <v/>
      </c>
      <c r="S49" s="119" t="str">
        <f ca="1">IFERROR($R49*10/100,P49)</f>
        <v/>
      </c>
      <c r="T49" s="119" t="str">
        <f t="shared" ref="T49:T56" ca="1" si="5">IFERROR(IF(IF($E$9=Precio_oferta,$E49,F49)&lt;$R$43,"Desproporcionada",""),"")</f>
        <v/>
      </c>
    </row>
    <row r="50" spans="2:20" x14ac:dyDescent="0.3">
      <c r="B50" s="143">
        <v>2</v>
      </c>
      <c r="C50" s="163" t="str">
        <f>IFERROR(VLOOKUP(CONCATENATE($F$5,"_",B50),Homologación!$A:$C,2,FALSE),"")</f>
        <v>INETUM</v>
      </c>
      <c r="D50" s="141" t="str">
        <f>IFERROR(IF(VLOOKUP(L50,Homologación!N:P,3,FALSE)&lt;&gt;0,VLOOKUP(L50,Homologación!N:P,3,FALSE),""),"")</f>
        <v>INETUM NORTE, S.L.U.</v>
      </c>
      <c r="E50" s="113" t="str" cm="1">
        <f t="array" aca="1" ref="E50" ca="1">IFERROR(INDIRECT(C50&amp;"!B27"),"")</f>
        <v/>
      </c>
      <c r="F50" s="113" t="str" cm="1">
        <f t="array" aca="1" ref="F50" ca="1">IF($E$9=Precio_hora,IFERROR(INDIRECT(C50&amp;"!D37"),""),"")</f>
        <v/>
      </c>
      <c r="G50" s="5" cm="1">
        <f t="array" aca="1" ref="G50" ca="1">IF(C50="","",IF($E$13=0,0,IF(ISREF(INDIRECT(C50&amp;"!AE3")),INDIRECT(C50&amp;"!AN3"),"")))</f>
        <v>0</v>
      </c>
      <c r="H50" s="5" t="str" cm="1">
        <f t="array" aca="1" ref="H50" ca="1">IFERROR(IF(INDIRECT(C50&amp;"!B27")&gt;$E$8,"Supera",S50),"")</f>
        <v/>
      </c>
      <c r="I50" s="5" t="str">
        <f ca="1">IF(C50="","",IF($E$15=0,"",IFERROR(IF(E50&lt;&gt;"",VLOOKUP(CONCATENATE(C50,$F$5),Homologación!$N:$O,2,FALSE),""),"")))</f>
        <v/>
      </c>
      <c r="J50" s="114"/>
      <c r="K50" s="115">
        <f ca="1">IF(C50="","",IF(H50="Supera",H50,IFERROR(G50*$E$13,0)+IFERROR(H50*$E$14,0)+IFERROR(I50*$E$15,0)+IFERROR(J50*$E$16,0)))</f>
        <v>0</v>
      </c>
      <c r="L50" s="116" t="str">
        <f t="shared" ref="L50:L56" si="6">CONCATENATE(C50,$F$5)</f>
        <v>INETUM1</v>
      </c>
      <c r="M50" s="5"/>
      <c r="N50" s="117" t="str">
        <f t="shared" ref="N50:N56" ca="1" si="7">IFERROR(T50,"")</f>
        <v/>
      </c>
      <c r="P50" s="118" t="str">
        <f t="shared" ca="1" si="2"/>
        <v/>
      </c>
      <c r="Q50" s="56" t="str">
        <f t="shared" ca="1" si="3"/>
        <v/>
      </c>
      <c r="R50" s="119" t="str">
        <f t="shared" ca="1" si="4"/>
        <v/>
      </c>
      <c r="S50" s="119" t="str">
        <f t="shared" ref="S50:S56" ca="1" si="8">IFERROR($R50*10/100,P50)</f>
        <v/>
      </c>
      <c r="T50" s="119" t="str">
        <f t="shared" ca="1" si="5"/>
        <v/>
      </c>
    </row>
    <row r="51" spans="2:20" x14ac:dyDescent="0.3">
      <c r="B51" s="143">
        <v>3</v>
      </c>
      <c r="C51" s="163" t="str">
        <f>IFERROR(VLOOKUP(CONCATENATE($F$5,"_",B51),Homologación!$A:$C,2,FALSE),"")</f>
        <v>SERIKAT</v>
      </c>
      <c r="D51" s="141" t="str">
        <f>IFERROR(IF(VLOOKUP(L51,Homologación!N:P,3,FALSE)&lt;&gt;0,VLOOKUP(L51,Homologación!N:P,3,FALSE),""),"")</f>
        <v>SERIKAT CONSULTORÍA E INFORMÁTICA, S.A.</v>
      </c>
      <c r="E51" s="113" t="str" cm="1">
        <f t="array" aca="1" ref="E51" ca="1">IFERROR(INDIRECT(C51&amp;"!B27"),"")</f>
        <v/>
      </c>
      <c r="F51" s="113" t="str" cm="1">
        <f t="array" aca="1" ref="F51" ca="1">IF($E$9=Precio_hora,IFERROR(INDIRECT(C51&amp;"!D37"),""),"")</f>
        <v/>
      </c>
      <c r="G51" s="5" cm="1">
        <f t="array" aca="1" ref="G51" ca="1">IF(C51="","",IF($E$13=0,0,IF(ISREF(INDIRECT(C51&amp;"!AE3")),INDIRECT(C51&amp;"!AN3"),"")))</f>
        <v>0</v>
      </c>
      <c r="H51" s="5" t="str" cm="1">
        <f t="array" aca="1" ref="H51" ca="1">IFERROR(IF(INDIRECT(C51&amp;"!B27")&gt;$E$8,"Supera",S51),"")</f>
        <v/>
      </c>
      <c r="I51" s="5" t="str">
        <f ca="1">IF(C51="","",IF($E$15=0,"",IFERROR(IF(E51&lt;&gt;"",VLOOKUP(CONCATENATE(C51,$F$5),Homologación!$N:$O,2,FALSE),""),"")))</f>
        <v/>
      </c>
      <c r="J51" s="114"/>
      <c r="K51" s="115">
        <f t="shared" ref="K51:K56" ca="1" si="9">IF(C51="","",IF(H51="Supera",H51,IFERROR(G51*$E$13,0)+IFERROR(H51*$E$14,0)+IFERROR(I51*$E$15,0)+IFERROR(J51*$E$16,0)))</f>
        <v>0</v>
      </c>
      <c r="L51" s="116" t="str">
        <f t="shared" si="6"/>
        <v>SERIKAT1</v>
      </c>
      <c r="M51" s="5"/>
      <c r="N51" s="117" t="str">
        <f t="shared" ca="1" si="7"/>
        <v/>
      </c>
      <c r="P51" s="118" t="str">
        <f t="shared" ca="1" si="2"/>
        <v/>
      </c>
      <c r="Q51" s="56" t="str">
        <f t="shared" ca="1" si="3"/>
        <v/>
      </c>
      <c r="R51" s="119" t="str">
        <f t="shared" ca="1" si="4"/>
        <v/>
      </c>
      <c r="S51" s="119" t="str">
        <f t="shared" ca="1" si="8"/>
        <v/>
      </c>
      <c r="T51" s="119" t="str">
        <f t="shared" ca="1" si="5"/>
        <v/>
      </c>
    </row>
    <row r="52" spans="2:20" x14ac:dyDescent="0.3">
      <c r="B52" s="143">
        <v>4</v>
      </c>
      <c r="C52" s="163" t="str">
        <f>IFERROR(VLOOKUP(CONCATENATE($F$5,"_",B52),Homologación!$A:$C,2,FALSE),"")</f>
        <v>DEUSTO</v>
      </c>
      <c r="D52" s="141" t="str">
        <f>IFERROR(IF(VLOOKUP(L52,Homologación!N:P,3,FALSE)&lt;&gt;0,VLOOKUP(L52,Homologación!N:P,3,FALSE),""),"")</f>
        <v>DEUSTO SEIDOR S.A.</v>
      </c>
      <c r="E52" s="113" t="str" cm="1">
        <f t="array" aca="1" ref="E52" ca="1">IFERROR(INDIRECT(C52&amp;"!B27"),"")</f>
        <v/>
      </c>
      <c r="F52" s="113" t="str" cm="1">
        <f t="array" aca="1" ref="F52" ca="1">IF($E$9=Precio_hora,IFERROR(INDIRECT(C52&amp;"!D37"),""),"")</f>
        <v/>
      </c>
      <c r="G52" s="5" cm="1">
        <f t="array" aca="1" ref="G52" ca="1">IF(C52="","",IF($E$13=0,0,IF(ISREF(INDIRECT(C52&amp;"!AE3")),INDIRECT(C52&amp;"!AN3"),"")))</f>
        <v>0</v>
      </c>
      <c r="H52" s="5" t="str" cm="1">
        <f t="array" aca="1" ref="H52" ca="1">IFERROR(IF(INDIRECT(C52&amp;"!B27")&gt;$E$8,"Supera",S52),"")</f>
        <v/>
      </c>
      <c r="I52" s="5" t="str">
        <f ca="1">IF(C52="","",IF($E$15=0,"",IFERROR(IF(E52&lt;&gt;"",VLOOKUP(CONCATENATE(C52,$F$5),Homologación!$N:$O,2,FALSE),""),"")))</f>
        <v/>
      </c>
      <c r="J52" s="114"/>
      <c r="K52" s="115">
        <f t="shared" ca="1" si="9"/>
        <v>0</v>
      </c>
      <c r="L52" s="116" t="str">
        <f t="shared" si="6"/>
        <v>DEUSTO1</v>
      </c>
      <c r="M52" s="5"/>
      <c r="N52" s="117" t="str">
        <f t="shared" ca="1" si="7"/>
        <v/>
      </c>
      <c r="P52" s="118" t="str">
        <f t="shared" ca="1" si="2"/>
        <v/>
      </c>
      <c r="Q52" s="56" t="str">
        <f t="shared" ca="1" si="3"/>
        <v/>
      </c>
      <c r="R52" s="119" t="str">
        <f t="shared" ca="1" si="4"/>
        <v/>
      </c>
      <c r="S52" s="119" t="str">
        <f t="shared" ca="1" si="8"/>
        <v/>
      </c>
      <c r="T52" s="119" t="str">
        <f t="shared" ca="1" si="5"/>
        <v/>
      </c>
    </row>
    <row r="53" spans="2:20" x14ac:dyDescent="0.3">
      <c r="B53" s="143">
        <v>5</v>
      </c>
      <c r="C53" s="163" t="str">
        <f>IFERROR(VLOOKUP(CONCATENATE($F$5,"_",B53),Homologación!$A:$C,2,FALSE),"")</f>
        <v>UTE_TEKNEI</v>
      </c>
      <c r="D53" s="141" t="str">
        <f>IFERROR(IF(VLOOKUP(L53,Homologación!N:P,3,FALSE)&lt;&gt;0,VLOOKUP(L53,Homologación!N:P,3,FALSE),""),"")</f>
        <v>TEKNEI DIGITAL S.A.U., TEKNEI INFORMATION  TECHNOLOGY S.L., SISTEMAS Y TRATAMIENTOS INFORMÁTICOS S.L.U., MATHEMATICS FOR LIFE S.L., MERKATU INTERACTIVA S.L.</v>
      </c>
      <c r="E53" s="113" t="str" cm="1">
        <f t="array" aca="1" ref="E53" ca="1">IFERROR(INDIRECT(C53&amp;"!B27"),"")</f>
        <v/>
      </c>
      <c r="F53" s="113" t="str" cm="1">
        <f t="array" aca="1" ref="F53" ca="1">IF($E$9=Precio_hora,IFERROR(INDIRECT(C53&amp;"!D37"),""),"")</f>
        <v/>
      </c>
      <c r="G53" s="5" cm="1">
        <f t="array" aca="1" ref="G53" ca="1">IF(C53="","",IF($E$13=0,0,IF(ISREF(INDIRECT(C53&amp;"!AE3")),INDIRECT(C53&amp;"!AN3"),"")))</f>
        <v>0</v>
      </c>
      <c r="H53" s="5" t="str" cm="1">
        <f t="array" aca="1" ref="H53" ca="1">IFERROR(IF(INDIRECT(C53&amp;"!B27")&gt;$E$8,"Supera",S53),"")</f>
        <v/>
      </c>
      <c r="I53" s="5" t="str">
        <f ca="1">IF(C53="","",IF($E$15=0,"",IFERROR(IF(E53&lt;&gt;"",VLOOKUP(CONCATENATE(C53,$F$5),Homologación!$N:$O,2,FALSE),""),"")))</f>
        <v/>
      </c>
      <c r="J53" s="114"/>
      <c r="K53" s="115">
        <f t="shared" ca="1" si="9"/>
        <v>0</v>
      </c>
      <c r="L53" s="116" t="str">
        <f t="shared" si="6"/>
        <v>UTE_TEKNEI1</v>
      </c>
      <c r="M53" s="5"/>
      <c r="N53" s="117" t="str">
        <f t="shared" ca="1" si="7"/>
        <v/>
      </c>
      <c r="P53" s="118" t="str">
        <f t="shared" ca="1" si="2"/>
        <v/>
      </c>
      <c r="Q53" s="56" t="str">
        <f t="shared" ca="1" si="3"/>
        <v/>
      </c>
      <c r="R53" s="119" t="str">
        <f t="shared" ca="1" si="4"/>
        <v/>
      </c>
      <c r="S53" s="119" t="str">
        <f t="shared" ca="1" si="8"/>
        <v/>
      </c>
      <c r="T53" s="119" t="str">
        <f t="shared" ca="1" si="5"/>
        <v/>
      </c>
    </row>
    <row r="54" spans="2:20" x14ac:dyDescent="0.3">
      <c r="B54" s="143">
        <v>6</v>
      </c>
      <c r="C54" s="163" t="str">
        <f>IFERROR(VLOOKUP(CONCATENATE($F$5,"_",B54),Homologación!$A:$C,2,FALSE),"")</f>
        <v>NTT_DATA</v>
      </c>
      <c r="D54" s="141" t="str">
        <f>IFERROR(IF(VLOOKUP(L54,Homologación!N:P,3,FALSE)&lt;&gt;0,VLOOKUP(L54,Homologación!N:P,3,FALSE),""),"")</f>
        <v>NTT DATA SPAIN S.L.U. ,NTT DATA CENTERS S.L.U. , UNIÓN TEMPORAL DE EMPRESAS</v>
      </c>
      <c r="E54" s="113" t="str" cm="1">
        <f t="array" aca="1" ref="E54" ca="1">IFERROR(INDIRECT(C54&amp;"!B27"),"")</f>
        <v/>
      </c>
      <c r="F54" s="113" t="str" cm="1">
        <f t="array" aca="1" ref="F54" ca="1">IF($E$9=Precio_hora,IFERROR(INDIRECT(C54&amp;"!D37"),""),"")</f>
        <v/>
      </c>
      <c r="G54" s="5" cm="1">
        <f t="array" aca="1" ref="G54" ca="1">IF(C54="","",IF($E$13=0,0,IF(ISREF(INDIRECT(C54&amp;"!AE3")),INDIRECT(C54&amp;"!AN3"),"")))</f>
        <v>0</v>
      </c>
      <c r="H54" s="5" t="str" cm="1">
        <f t="array" aca="1" ref="H54" ca="1">IFERROR(IF(INDIRECT(C54&amp;"!B27")&gt;$E$8,"Supera",S54),"")</f>
        <v/>
      </c>
      <c r="I54" s="5" t="str">
        <f ca="1">IF(C54="","",IF($E$15=0,"",IFERROR(IF(E54&lt;&gt;"",VLOOKUP(CONCATENATE(C54,$F$5),Homologación!$N:$O,2,FALSE),""),"")))</f>
        <v/>
      </c>
      <c r="J54" s="114"/>
      <c r="K54" s="115">
        <f t="shared" ca="1" si="9"/>
        <v>0</v>
      </c>
      <c r="L54" s="116" t="str">
        <f t="shared" si="6"/>
        <v>NTT_DATA1</v>
      </c>
      <c r="M54" s="5"/>
      <c r="N54" s="117" t="str">
        <f t="shared" ca="1" si="7"/>
        <v/>
      </c>
      <c r="P54" s="118" t="str">
        <f t="shared" ca="1" si="2"/>
        <v/>
      </c>
      <c r="Q54" s="56" t="str">
        <f t="shared" ca="1" si="3"/>
        <v/>
      </c>
      <c r="R54" s="119" t="str">
        <f t="shared" ca="1" si="4"/>
        <v/>
      </c>
      <c r="S54" s="119" t="str">
        <f t="shared" ca="1" si="8"/>
        <v/>
      </c>
      <c r="T54" s="119" t="str">
        <f t="shared" ca="1" si="5"/>
        <v/>
      </c>
    </row>
    <row r="55" spans="2:20" x14ac:dyDescent="0.3">
      <c r="B55" s="143">
        <v>7</v>
      </c>
      <c r="C55" s="163" t="str">
        <f>IFERROR(VLOOKUP(CONCATENATE($F$5,"_",B55),Homologación!$A:$C,2,FALSE),"")</f>
        <v>IBERMATICA</v>
      </c>
      <c r="D55" s="141" t="str">
        <f>IFERROR(IF(VLOOKUP(L55,Homologación!N:P,3,FALSE)&lt;&gt;0,VLOOKUP(L55,Homologación!N:P,3,FALSE),""),"")</f>
        <v>IBERMÁTICA, S.A.</v>
      </c>
      <c r="E55" s="113" t="str" cm="1">
        <f t="array" aca="1" ref="E55" ca="1">IFERROR(INDIRECT(C55&amp;"!B27"),"")</f>
        <v/>
      </c>
      <c r="F55" s="113" t="str" cm="1">
        <f t="array" aca="1" ref="F55" ca="1">IF($E$9=Precio_hora,IFERROR(INDIRECT(C55&amp;"!D37"),""),"")</f>
        <v/>
      </c>
      <c r="G55" s="5" cm="1">
        <f t="array" aca="1" ref="G55" ca="1">IF(C55="","",IF($E$13=0,0,IF(ISREF(INDIRECT(C55&amp;"!AE3")),INDIRECT(C55&amp;"!AN3"),"")))</f>
        <v>0</v>
      </c>
      <c r="H55" s="5" t="str" cm="1">
        <f t="array" aca="1" ref="H55" ca="1">IFERROR(IF(INDIRECT(C55&amp;"!B27")&gt;$E$8,"Supera",S55),"")</f>
        <v/>
      </c>
      <c r="I55" s="5" t="str">
        <f ca="1">IF(C55="","",IF($E$15=0,"",IFERROR(IF(E55&lt;&gt;"",VLOOKUP(CONCATENATE(C55,$F$5),Homologación!$N:$O,2,FALSE),""),"")))</f>
        <v/>
      </c>
      <c r="J55" s="114"/>
      <c r="K55" s="115">
        <f t="shared" ca="1" si="9"/>
        <v>0</v>
      </c>
      <c r="L55" s="116" t="str">
        <f t="shared" si="6"/>
        <v>IBERMATICA1</v>
      </c>
      <c r="M55" s="5"/>
      <c r="N55" s="117" t="str">
        <f t="shared" ca="1" si="7"/>
        <v/>
      </c>
      <c r="P55" s="118" t="str">
        <f t="shared" ca="1" si="2"/>
        <v/>
      </c>
      <c r="Q55" s="56" t="str">
        <f t="shared" ca="1" si="3"/>
        <v/>
      </c>
      <c r="R55" s="119" t="str">
        <f t="shared" ca="1" si="4"/>
        <v/>
      </c>
      <c r="S55" s="119" t="str">
        <f t="shared" ca="1" si="8"/>
        <v/>
      </c>
      <c r="T55" s="119" t="str">
        <f t="shared" ca="1" si="5"/>
        <v/>
      </c>
    </row>
    <row r="56" spans="2:20" x14ac:dyDescent="0.3">
      <c r="B56" s="143">
        <v>8</v>
      </c>
      <c r="C56" s="163" t="str">
        <f>IFERROR(VLOOKUP(CONCATENATE($F$5,"_",B56),Homologación!$A:$C,2,FALSE),"")</f>
        <v>INDRA</v>
      </c>
      <c r="D56" s="141" t="str">
        <f>IFERROR(IF(VLOOKUP(L56,Homologación!N:P,3,FALSE)&lt;&gt;0,VLOOKUP(L56,Homologación!N:P,3,FALSE),""),"")</f>
        <v>INDRA SOLUCIONES TECNOLOGIAS DE LA INFORMACION, S.L.U</v>
      </c>
      <c r="E56" s="113" t="str" cm="1">
        <f t="array" aca="1" ref="E56" ca="1">IFERROR(INDIRECT(C56&amp;"!B27"),"")</f>
        <v/>
      </c>
      <c r="F56" s="113" t="str" cm="1">
        <f t="array" aca="1" ref="F56" ca="1">IF($E$9=Precio_hora,IFERROR(INDIRECT(C56&amp;"!D37"),""),"")</f>
        <v/>
      </c>
      <c r="G56" s="5" cm="1">
        <f t="array" aca="1" ref="G56" ca="1">IF(C56="","",IF($E$13=0,0,IF(ISREF(INDIRECT(C56&amp;"!AE3")),INDIRECT(C56&amp;"!AN3"),"")))</f>
        <v>0</v>
      </c>
      <c r="H56" s="5" t="str" cm="1">
        <f t="array" aca="1" ref="H56" ca="1">IFERROR(IF(INDIRECT(C56&amp;"!B27")&gt;$E$8,"Supera",S56),"")</f>
        <v/>
      </c>
      <c r="I56" s="5" t="str">
        <f ca="1">IF(C56="","",IF($E$15=0,"",IFERROR(IF(E56&lt;&gt;"",VLOOKUP(CONCATENATE(C56,$F$5),Homologación!$N:$O,2,FALSE),""),"")))</f>
        <v/>
      </c>
      <c r="J56" s="114"/>
      <c r="K56" s="115">
        <f t="shared" ca="1" si="9"/>
        <v>0</v>
      </c>
      <c r="L56" s="116" t="str">
        <f t="shared" si="6"/>
        <v>INDRA1</v>
      </c>
      <c r="M56" s="5"/>
      <c r="N56" s="117" t="str">
        <f t="shared" ca="1" si="7"/>
        <v/>
      </c>
      <c r="P56" s="118" t="str">
        <f t="shared" ca="1" si="2"/>
        <v/>
      </c>
      <c r="Q56" s="56" t="str">
        <f t="shared" ca="1" si="3"/>
        <v/>
      </c>
      <c r="R56" s="119" t="str">
        <f t="shared" ca="1" si="4"/>
        <v/>
      </c>
      <c r="S56" s="119" t="str">
        <f t="shared" ca="1" si="8"/>
        <v/>
      </c>
      <c r="T56" s="119" t="str">
        <f t="shared" ca="1" si="5"/>
        <v/>
      </c>
    </row>
    <row r="57" spans="2:20" x14ac:dyDescent="0.3">
      <c r="B57" s="81"/>
      <c r="C57" s="82"/>
      <c r="D57" s="82"/>
      <c r="E57" s="82"/>
      <c r="F57" s="82"/>
      <c r="G57" s="82"/>
      <c r="H57" s="82"/>
      <c r="I57" s="82"/>
      <c r="J57" s="82"/>
      <c r="K57" s="82"/>
      <c r="L57" s="82"/>
      <c r="M57" s="82"/>
      <c r="N57" s="83"/>
    </row>
    <row r="58" spans="2:20" x14ac:dyDescent="0.3">
      <c r="B58" s="81"/>
      <c r="C58" s="216" t="s">
        <v>121</v>
      </c>
      <c r="D58" s="216"/>
      <c r="E58" s="120">
        <f ca="1">MAX(K49:K56)</f>
        <v>0</v>
      </c>
      <c r="F58" s="214" t="str">
        <f ca="1">IF(E58=0,"",VLOOKUP(VLOOKUP(E58,K49:N56,2,FALSE),Homologación!$N:$P,3,FALSE))</f>
        <v/>
      </c>
      <c r="G58" s="215"/>
      <c r="H58" s="82"/>
      <c r="I58" s="121"/>
      <c r="J58" s="121"/>
      <c r="K58" s="82"/>
      <c r="L58" s="82"/>
      <c r="M58" s="82"/>
      <c r="N58" s="83"/>
    </row>
    <row r="59" spans="2:20" ht="3.75" customHeight="1" x14ac:dyDescent="0.3">
      <c r="B59" s="81"/>
      <c r="C59" s="82"/>
      <c r="D59" s="82"/>
      <c r="E59" s="82"/>
      <c r="F59" s="82"/>
      <c r="G59" s="82"/>
      <c r="H59" s="82"/>
      <c r="I59" s="82"/>
      <c r="J59" s="82"/>
      <c r="K59" s="82"/>
      <c r="L59" s="82"/>
      <c r="M59" s="82"/>
      <c r="N59" s="83"/>
    </row>
    <row r="60" spans="2:20" ht="7.5" customHeight="1" thickBot="1" x14ac:dyDescent="0.35">
      <c r="B60" s="122"/>
      <c r="C60" s="123"/>
      <c r="D60" s="123"/>
      <c r="E60" s="123"/>
      <c r="F60" s="123"/>
      <c r="G60" s="123"/>
      <c r="H60" s="123"/>
      <c r="I60" s="123"/>
      <c r="J60" s="123"/>
      <c r="K60" s="123"/>
      <c r="L60" s="123"/>
      <c r="M60" s="123"/>
      <c r="N60" s="124"/>
    </row>
    <row r="67" spans="8:8" x14ac:dyDescent="0.3">
      <c r="H67" s="13"/>
    </row>
  </sheetData>
  <sheetProtection algorithmName="SHA-512" hashValue="6DPnAp+RPniRWC6ilT9eMf5oLPbx2kr3BKP2E06ePnLzcv1UoKGiwPtRKmCmCUl1OOdQRF5qdfLOjTJ70Shwew==" saltValue="9V/uu9UZwbLHD3t3rO9P3Q==" spinCount="100000" sheet="1" selectLockedCells="1"/>
  <protectedRanges>
    <protectedRange algorithmName="SHA-512" hashValue="88a0b017Ue+hFV64C2jIS4pGMRjvOZxdPUHSrac6YHYtoff0w1PD/FDtjaX8rbnhtAyXj5ulR/8iMZWTZ0wsWg==" saltValue="VsZnrYZCIIgQG7soo0P/RA==" spinCount="100000" sqref="E9" name="CriterioPrecio"/>
  </protectedRanges>
  <mergeCells count="62">
    <mergeCell ref="P44:Q44"/>
    <mergeCell ref="P42:Q42"/>
    <mergeCell ref="P43:Q43"/>
    <mergeCell ref="I19:J19"/>
    <mergeCell ref="I21:J21"/>
    <mergeCell ref="I22:J22"/>
    <mergeCell ref="I23:J23"/>
    <mergeCell ref="P37:Q37"/>
    <mergeCell ref="P38:Q38"/>
    <mergeCell ref="P39:Q39"/>
    <mergeCell ref="P40:Q40"/>
    <mergeCell ref="P41:Q41"/>
    <mergeCell ref="I20:J20"/>
    <mergeCell ref="P36:Q36"/>
    <mergeCell ref="C42:K45"/>
    <mergeCell ref="E24:F24"/>
    <mergeCell ref="C38:D38"/>
    <mergeCell ref="C39:D39"/>
    <mergeCell ref="C9:D9"/>
    <mergeCell ref="C26:F26"/>
    <mergeCell ref="E30:F30"/>
    <mergeCell ref="C29:D29"/>
    <mergeCell ref="E29:F29"/>
    <mergeCell ref="C27:D27"/>
    <mergeCell ref="E27:F27"/>
    <mergeCell ref="C28:D28"/>
    <mergeCell ref="E28:F28"/>
    <mergeCell ref="C10:D10"/>
    <mergeCell ref="E10:J10"/>
    <mergeCell ref="J31:K31"/>
    <mergeCell ref="C4:D4"/>
    <mergeCell ref="C3:E3"/>
    <mergeCell ref="E20:F20"/>
    <mergeCell ref="E21:F21"/>
    <mergeCell ref="E22:F22"/>
    <mergeCell ref="C19:F19"/>
    <mergeCell ref="C7:D7"/>
    <mergeCell ref="C5:D5"/>
    <mergeCell ref="C8:D8"/>
    <mergeCell ref="C13:D13"/>
    <mergeCell ref="C14:D14"/>
    <mergeCell ref="C15:D15"/>
    <mergeCell ref="C16:D16"/>
    <mergeCell ref="C6:D6"/>
    <mergeCell ref="F14:J14"/>
    <mergeCell ref="C12:E12"/>
    <mergeCell ref="G47:K47"/>
    <mergeCell ref="F58:G58"/>
    <mergeCell ref="C58:D58"/>
    <mergeCell ref="C17:D17"/>
    <mergeCell ref="C20:D20"/>
    <mergeCell ref="F17:J17"/>
    <mergeCell ref="C21:D21"/>
    <mergeCell ref="C22:D22"/>
    <mergeCell ref="C23:D23"/>
    <mergeCell ref="E23:F23"/>
    <mergeCell ref="C34:D34"/>
    <mergeCell ref="C35:D35"/>
    <mergeCell ref="C36:D36"/>
    <mergeCell ref="C37:D37"/>
    <mergeCell ref="C32:D32"/>
    <mergeCell ref="C33:D33"/>
  </mergeCells>
  <phoneticPr fontId="8" type="noConversion"/>
  <conditionalFormatting sqref="E17">
    <cfRule type="cellIs" dxfId="36" priority="52" operator="notEqual">
      <formula>1</formula>
    </cfRule>
  </conditionalFormatting>
  <conditionalFormatting sqref="J49:J56">
    <cfRule type="cellIs" dxfId="35" priority="51" operator="greaterThan">
      <formula>10</formula>
    </cfRule>
  </conditionalFormatting>
  <conditionalFormatting sqref="G20:G23">
    <cfRule type="cellIs" dxfId="34" priority="49" operator="greaterThan">
      <formula>1</formula>
    </cfRule>
  </conditionalFormatting>
  <conditionalFormatting sqref="H40">
    <cfRule type="cellIs" dxfId="33" priority="40" operator="notEqual">
      <formula>1</formula>
    </cfRule>
  </conditionalFormatting>
  <conditionalFormatting sqref="G24">
    <cfRule type="cellIs" dxfId="32" priority="39" operator="notEqual">
      <formula>1</formula>
    </cfRule>
  </conditionalFormatting>
  <conditionalFormatting sqref="K23">
    <cfRule type="cellIs" dxfId="31" priority="38" operator="notEqual">
      <formula>1</formula>
    </cfRule>
  </conditionalFormatting>
  <conditionalFormatting sqref="G27:G29">
    <cfRule type="cellIs" dxfId="30" priority="7" operator="greaterThan">
      <formula>1</formula>
    </cfRule>
  </conditionalFormatting>
  <conditionalFormatting sqref="G30">
    <cfRule type="cellIs" dxfId="29" priority="6" operator="notEqual">
      <formula>1</formula>
    </cfRule>
  </conditionalFormatting>
  <dataValidations count="6">
    <dataValidation type="list" allowBlank="1" showInputMessage="1" showErrorMessage="1" sqref="F21:F23 E20:E23" xr:uid="{ECA323B4-FF66-4F1F-8558-9CE8D7B11845}">
      <formula1>INDIRECT("entornos"&amp;$F$5)</formula1>
    </dataValidation>
    <dataValidation type="list" allowBlank="1" showInputMessage="1" showErrorMessage="1" sqref="E33:E39" xr:uid="{93BB6FC6-9412-4C64-B065-DC12E663B1BB}">
      <formula1>INDIRECT("perfiles"&amp;$F$5)</formula1>
    </dataValidation>
    <dataValidation type="list" allowBlank="1" showInputMessage="1" showErrorMessage="1" sqref="E7" xr:uid="{614A1306-E1D4-42F2-871E-63796F91C8F1}">
      <formula1>lotes1</formula1>
    </dataValidation>
    <dataValidation type="list" allowBlank="1" showInputMessage="1" showErrorMessage="1" sqref="E5" xr:uid="{57DE248C-E32F-4D8B-8D3E-BAC7D4AE6DE2}">
      <formula1>lotes</formula1>
    </dataValidation>
    <dataValidation type="list" allowBlank="1" showInputMessage="1" showErrorMessage="1" sqref="E6" xr:uid="{FE220225-0269-4172-AA2F-94FB0CABEC73}">
      <formula1>si_no</formula1>
    </dataValidation>
    <dataValidation type="list" allowBlank="1" showInputMessage="1" showErrorMessage="1" sqref="E10:J10" xr:uid="{1B5DBFD4-75EF-4775-8498-79752F69DC5F}">
      <formula1>INDIRECT("Formapago_"&amp;$F$7)</formula1>
    </dataValidation>
  </dataValidations>
  <pageMargins left="0.7" right="0.7" top="0.75" bottom="0.75" header="0.3" footer="0.3"/>
  <pageSetup paperSize="8" scale="60" orientation="landscape" r:id="rId1"/>
  <ignoredErrors>
    <ignoredError sqref="H33:H39" unlockedFormula="1"/>
  </ignoredError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ontainsText" priority="35" operator="containsText" id="{91D74895-5BBB-4C33-BB78-AA02CB0DC1C3}">
            <xm:f>NOT(ISERROR(SEARCH("Supera",Q49)))</xm:f>
            <xm:f>"Supera"</xm:f>
            <x14:dxf>
              <font>
                <strike val="0"/>
                <color rgb="FFFF0000"/>
              </font>
            </x14:dxf>
          </x14:cfRule>
          <x14:cfRule type="containsText" priority="36" operator="containsText" id="{2DE99DA7-EC4F-47B1-BF16-6992D57B67E7}">
            <xm:f>NOT(ISERROR(SEARCH("Excluid",Q49)))</xm:f>
            <xm:f>"Excluid"</xm:f>
            <x14:dxf>
              <font>
                <color rgb="FFFF0000"/>
              </font>
            </x14:dxf>
          </x14:cfRule>
          <x14:cfRule type="containsText" priority="37" operator="containsText" id="{48FF9AA1-9BFA-4BB2-A7CA-D4558DB6ED92}">
            <xm:f>NOT(ISERROR(SEARCH("Error Suma",Q49)))</xm:f>
            <xm:f>"Error Suma"</xm:f>
            <x14:dxf>
              <font>
                <color rgb="FFFF0000"/>
              </font>
            </x14:dxf>
          </x14:cfRule>
          <xm:sqref>Q49:S56</xm:sqref>
        </x14:conditionalFormatting>
        <x14:conditionalFormatting xmlns:xm="http://schemas.microsoft.com/office/excel/2006/main">
          <x14:cfRule type="containsText" priority="34" operator="containsText" id="{6DB99C3D-7C66-4670-8976-272E697CDF3E}">
            <xm:f>NOT(ISERROR(SEARCH("Despro",Q49)))</xm:f>
            <xm:f>"Despro"</xm:f>
            <x14:dxf>
              <font>
                <color rgb="FF0070C0"/>
              </font>
            </x14:dxf>
          </x14:cfRule>
          <xm:sqref>Q49:S56</xm:sqref>
        </x14:conditionalFormatting>
        <x14:conditionalFormatting xmlns:xm="http://schemas.microsoft.com/office/excel/2006/main">
          <x14:cfRule type="containsText" priority="25" operator="containsText" id="{9402F73D-3583-4630-9481-1ECD7632032C}">
            <xm:f>NOT(ISERROR(SEARCH("Supera",P49)))</xm:f>
            <xm:f>"Supera"</xm:f>
            <x14:dxf>
              <font>
                <strike val="0"/>
                <color rgb="FFFF0000"/>
              </font>
            </x14:dxf>
          </x14:cfRule>
          <x14:cfRule type="containsText" priority="26" operator="containsText" id="{FABF8975-9698-4607-98FF-6CA226C988A0}">
            <xm:f>NOT(ISERROR(SEARCH("Excluid",P49)))</xm:f>
            <xm:f>"Excluid"</xm:f>
            <x14:dxf>
              <font>
                <color rgb="FFFF0000"/>
              </font>
            </x14:dxf>
          </x14:cfRule>
          <x14:cfRule type="containsText" priority="27" operator="containsText" id="{2128CA50-E8E9-4FD0-9747-F777E17CD00B}">
            <xm:f>NOT(ISERROR(SEARCH("Error Suma",P49)))</xm:f>
            <xm:f>"Error Suma"</xm:f>
            <x14:dxf>
              <font>
                <color rgb="FFFF0000"/>
              </font>
            </x14:dxf>
          </x14:cfRule>
          <xm:sqref>P49:P56</xm:sqref>
        </x14:conditionalFormatting>
        <x14:conditionalFormatting xmlns:xm="http://schemas.microsoft.com/office/excel/2006/main">
          <x14:cfRule type="containsText" priority="24" operator="containsText" id="{2CB3A839-1B97-4AD7-BB59-3B3CEA1A4196}">
            <xm:f>NOT(ISERROR(SEARCH("Despro",P49)))</xm:f>
            <xm:f>"Despro"</xm:f>
            <x14:dxf>
              <font>
                <color rgb="FF0070C0"/>
              </font>
            </x14:dxf>
          </x14:cfRule>
          <xm:sqref>P49:P56</xm:sqref>
        </x14:conditionalFormatting>
        <x14:conditionalFormatting xmlns:xm="http://schemas.microsoft.com/office/excel/2006/main">
          <x14:cfRule type="containsText" priority="17" operator="containsText" id="{A65948BF-A7E9-4B77-A8BE-A3EF0F8888F8}">
            <xm:f>NOT(ISERROR(SEARCH("Supera",T49)))</xm:f>
            <xm:f>"Supera"</xm:f>
            <x14:dxf>
              <font>
                <strike val="0"/>
                <color rgb="FFFF0000"/>
              </font>
            </x14:dxf>
          </x14:cfRule>
          <x14:cfRule type="containsText" priority="18" operator="containsText" id="{7FDECDDE-580F-492C-91E3-AF22CC25C541}">
            <xm:f>NOT(ISERROR(SEARCH("Excluid",T49)))</xm:f>
            <xm:f>"Excluid"</xm:f>
            <x14:dxf>
              <font>
                <color rgb="FFFF0000"/>
              </font>
            </x14:dxf>
          </x14:cfRule>
          <x14:cfRule type="containsText" priority="19" operator="containsText" id="{6F371FA0-7B3E-43A5-B461-D1304AE29489}">
            <xm:f>NOT(ISERROR(SEARCH("Error Suma",T49)))</xm:f>
            <xm:f>"Error Suma"</xm:f>
            <x14:dxf>
              <font>
                <color rgb="FFFF0000"/>
              </font>
            </x14:dxf>
          </x14:cfRule>
          <xm:sqref>T49:T56</xm:sqref>
        </x14:conditionalFormatting>
        <x14:conditionalFormatting xmlns:xm="http://schemas.microsoft.com/office/excel/2006/main">
          <x14:cfRule type="containsText" priority="16" operator="containsText" id="{8EC4BC7D-6FDE-4EC6-98CD-ECC4FA9E0F11}">
            <xm:f>NOT(ISERROR(SEARCH("Despro",T49)))</xm:f>
            <xm:f>"Despro"</xm:f>
            <x14:dxf>
              <font>
                <color rgb="FF0070C0"/>
              </font>
            </x14:dxf>
          </x14:cfRule>
          <xm:sqref>T49:T56</xm:sqref>
        </x14:conditionalFormatting>
        <x14:conditionalFormatting xmlns:xm="http://schemas.microsoft.com/office/excel/2006/main">
          <x14:cfRule type="containsText" priority="2" operator="containsText" id="{C7091CD7-7C59-403A-9E0F-3F26A34419C1}">
            <xm:f>NOT(ISERROR(SEARCH("Supera",K49)))</xm:f>
            <xm:f>"Supera"</xm:f>
            <x14:dxf>
              <font>
                <strike val="0"/>
                <color rgb="FFFF0000"/>
              </font>
            </x14:dxf>
          </x14:cfRule>
          <x14:cfRule type="containsText" priority="3" operator="containsText" id="{BE28344B-A21B-403B-AC4E-732017712364}">
            <xm:f>NOT(ISERROR(SEARCH("Excluid",K49)))</xm:f>
            <xm:f>"Excluid"</xm:f>
            <x14:dxf>
              <font>
                <color rgb="FFFF0000"/>
              </font>
            </x14:dxf>
          </x14:cfRule>
          <x14:cfRule type="containsText" priority="4" operator="containsText" id="{8365057C-FAA9-4311-A671-E819239D4501}">
            <xm:f>NOT(ISERROR(SEARCH("Error Suma",K49)))</xm:f>
            <xm:f>"Error Suma"</xm:f>
            <x14:dxf>
              <font>
                <color rgb="FFFF0000"/>
              </font>
            </x14:dxf>
          </x14:cfRule>
          <xm:sqref>K49:K56</xm:sqref>
        </x14:conditionalFormatting>
        <x14:conditionalFormatting xmlns:xm="http://schemas.microsoft.com/office/excel/2006/main">
          <x14:cfRule type="containsText" priority="1" operator="containsText" id="{717DDA21-E476-47C9-9067-205BD5C65A52}">
            <xm:f>NOT(ISERROR(SEARCH("Despro",K49)))</xm:f>
            <xm:f>"Despro"</xm:f>
            <x14:dxf>
              <font>
                <color rgb="FF0070C0"/>
              </font>
            </x14:dxf>
          </x14:cfRule>
          <xm:sqref>K49:K56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A4C77917-B02B-41C1-8DBD-993D756C7F84}">
          <x14:formula1>
            <xm:f>'Anexo valoraciones'!$B$97:$B$98</xm:f>
          </x14:formula1>
          <xm:sqref>M49:M56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CFE00-1167-4BC6-8170-B4C033838B47}">
  <sheetPr codeName="Hoja8"/>
  <dimension ref="A2:N22"/>
  <sheetViews>
    <sheetView workbookViewId="0">
      <selection activeCell="E1" sqref="E1:E1048576"/>
    </sheetView>
  </sheetViews>
  <sheetFormatPr baseColWidth="10" defaultColWidth="22" defaultRowHeight="14.4" x14ac:dyDescent="0.3"/>
  <cols>
    <col min="2" max="2" width="28.44140625" customWidth="1"/>
    <col min="3" max="3" width="14" bestFit="1" customWidth="1"/>
    <col min="4" max="4" width="14" customWidth="1"/>
    <col min="5" max="5" width="16.44140625" hidden="1" customWidth="1"/>
    <col min="6" max="6" width="11" bestFit="1" customWidth="1"/>
    <col min="7" max="7" width="16.33203125" bestFit="1" customWidth="1"/>
    <col min="8" max="8" width="10.5546875" customWidth="1"/>
    <col min="14" max="14" width="115.5546875" bestFit="1" customWidth="1"/>
  </cols>
  <sheetData>
    <row r="2" spans="1:14" ht="28.8" x14ac:dyDescent="0.3">
      <c r="B2" s="142" t="s">
        <v>110</v>
      </c>
      <c r="C2" s="3" t="str">
        <f>IF('Resumen global'!$E$7="ANS","Valor estimado",Tabla1[[#Headers],[Importe oferta]])</f>
        <v>Valor estimado</v>
      </c>
      <c r="D2" s="3" t="s">
        <v>113</v>
      </c>
      <c r="E2" s="3" t="s">
        <v>122</v>
      </c>
      <c r="F2" s="3" t="s">
        <v>123</v>
      </c>
      <c r="G2" s="3" t="s">
        <v>124</v>
      </c>
      <c r="H2" s="3" t="s">
        <v>67</v>
      </c>
      <c r="I2" s="146" t="s">
        <v>125</v>
      </c>
    </row>
    <row r="3" spans="1:14" x14ac:dyDescent="0.3">
      <c r="A3" s="200" t="str">
        <f>GenerarResolucion[[#This Row],[Empresa]]</f>
        <v/>
      </c>
      <c r="B3" s="145" t="str">
        <f>GenerarResolucion[[#This Row],[Empresa2]]</f>
        <v/>
      </c>
      <c r="C3" s="150">
        <f>IF('Resumen global'!$E$7="ANS",'Resumen global'!$E$8,GenerarResolucion[[#This Row],[Importe oferta]])</f>
        <v>48100</v>
      </c>
      <c r="D3" s="147" t="str">
        <f>GenerarResolucion[[#This Row],[Precio medio]]</f>
        <v/>
      </c>
      <c r="E3" s="148" t="str">
        <f>IFERROR(GenerarResolucion[[#This Row],[Medios humanos]]*'Resumen global'!$E$13,"")</f>
        <v/>
      </c>
      <c r="F3" s="148" t="str">
        <f>IFERROR(GenerarResolucion[[#This Row],[Precio]]*'Resumen global'!$E$14,"")</f>
        <v/>
      </c>
      <c r="G3" s="148" t="str">
        <f>IFERROR(GenerarResolucion[[#This Row],[Puntuación homologación]]*'Resumen global'!$E$15,"")</f>
        <v/>
      </c>
      <c r="H3" s="149">
        <f>IF(OR(GenerarResolucion[[#This Row],[Memoria técnica  (Máximo 10)]]=0,GenerarResolucion[[#This Row],[Memoria técnica  (Máximo 10)]]=999),0,GenerarResolucion[[#This Row],[Memoria técnica  (Máximo 10)]]*'Resumen global'!$E$16)</f>
        <v>0</v>
      </c>
      <c r="I3" s="151" t="str">
        <f>GenerarResolucion[[#This Row],[Observaciones]]</f>
        <v/>
      </c>
    </row>
    <row r="4" spans="1:14" x14ac:dyDescent="0.3">
      <c r="B4" s="145" t="str">
        <f>GenerarResolucion[[#This Row],[Empresa2]]</f>
        <v/>
      </c>
      <c r="C4" s="150">
        <f>IF('Resumen global'!$E$7="ANS",'Resumen global'!$E$8,GenerarResolucion[[#This Row],[Importe oferta]])</f>
        <v>48100</v>
      </c>
      <c r="D4" s="147" t="str">
        <f>GenerarResolucion[[#This Row],[Precio medio]]</f>
        <v/>
      </c>
      <c r="E4" s="148" t="str">
        <f>IFERROR(GenerarResolucion[[#This Row],[Medios humanos]]*'Resumen global'!$E$13,"")</f>
        <v/>
      </c>
      <c r="F4" s="148" t="str">
        <f>IFERROR(GenerarResolucion[[#This Row],[Precio]]*'Resumen global'!$E$14,"")</f>
        <v/>
      </c>
      <c r="G4" s="148" t="str">
        <f>IFERROR(GenerarResolucion[[#This Row],[Puntuación homologación]]*'Resumen global'!$E$15,"")</f>
        <v/>
      </c>
      <c r="H4" s="149">
        <f>IF(OR(GenerarResolucion[[#This Row],[Memoria técnica  (Máximo 10)]]=0,GenerarResolucion[[#This Row],[Memoria técnica  (Máximo 10)]]=999),0,GenerarResolucion[[#This Row],[Memoria técnica  (Máximo 10)]]*'Resumen global'!$E$16)</f>
        <v>0</v>
      </c>
      <c r="I4" s="151" t="str">
        <f>GenerarResolucion[[#This Row],[Observaciones]]</f>
        <v/>
      </c>
      <c r="N4" s="144"/>
    </row>
    <row r="5" spans="1:14" x14ac:dyDescent="0.3">
      <c r="B5" s="145" t="str">
        <f>GenerarResolucion[[#This Row],[Empresa2]]</f>
        <v/>
      </c>
      <c r="C5" s="150">
        <f>IF('Resumen global'!$E$7="ANS",'Resumen global'!$E$8,GenerarResolucion[[#This Row],[Importe oferta]])</f>
        <v>48100</v>
      </c>
      <c r="D5" s="147" t="str">
        <f>GenerarResolucion[[#This Row],[Precio medio]]</f>
        <v/>
      </c>
      <c r="E5" s="148" t="str">
        <f>IFERROR(GenerarResolucion[[#This Row],[Medios humanos]]*'Resumen global'!$E$13,"")</f>
        <v/>
      </c>
      <c r="F5" s="148" t="str">
        <f>IFERROR(GenerarResolucion[[#This Row],[Precio]]*'Resumen global'!$E$14,"")</f>
        <v/>
      </c>
      <c r="G5" s="148" t="str">
        <f>IFERROR(GenerarResolucion[[#This Row],[Puntuación homologación]]*'Resumen global'!$E$15,"")</f>
        <v/>
      </c>
      <c r="H5" s="149">
        <f>IF(OR(GenerarResolucion[[#This Row],[Memoria técnica  (Máximo 10)]]=0,GenerarResolucion[[#This Row],[Memoria técnica  (Máximo 10)]]=999),0,GenerarResolucion[[#This Row],[Memoria técnica  (Máximo 10)]]*'Resumen global'!$E$16)</f>
        <v>0</v>
      </c>
      <c r="I5" s="151" t="str">
        <f>GenerarResolucion[[#This Row],[Observaciones]]</f>
        <v/>
      </c>
      <c r="N5" s="144"/>
    </row>
    <row r="6" spans="1:14" x14ac:dyDescent="0.3">
      <c r="B6" s="145" t="str">
        <f>GenerarResolucion[[#This Row],[Empresa2]]</f>
        <v/>
      </c>
      <c r="C6" s="150">
        <f>IF('Resumen global'!$E$7="ANS",'Resumen global'!$E$8,GenerarResolucion[[#This Row],[Importe oferta]])</f>
        <v>48100</v>
      </c>
      <c r="D6" s="147" t="str">
        <f>GenerarResolucion[[#This Row],[Precio medio]]</f>
        <v/>
      </c>
      <c r="E6" s="148" t="str">
        <f>IFERROR(GenerarResolucion[[#This Row],[Medios humanos]]*'Resumen global'!$E$13,"")</f>
        <v/>
      </c>
      <c r="F6" s="148" t="str">
        <f>IFERROR(GenerarResolucion[[#This Row],[Precio]]*'Resumen global'!$E$14,"")</f>
        <v/>
      </c>
      <c r="G6" s="148" t="str">
        <f>IFERROR(GenerarResolucion[[#This Row],[Puntuación homologación]]*'Resumen global'!$E$15,"")</f>
        <v/>
      </c>
      <c r="H6" s="149">
        <f>IF(OR(GenerarResolucion[[#This Row],[Memoria técnica  (Máximo 10)]]=0,GenerarResolucion[[#This Row],[Memoria técnica  (Máximo 10)]]=999),0,GenerarResolucion[[#This Row],[Memoria técnica  (Máximo 10)]]*'Resumen global'!$E$16)</f>
        <v>0</v>
      </c>
      <c r="I6" s="151" t="str">
        <f>GenerarResolucion[[#This Row],[Observaciones]]</f>
        <v/>
      </c>
      <c r="N6" s="144"/>
    </row>
    <row r="7" spans="1:14" x14ac:dyDescent="0.3">
      <c r="B7" s="145" t="str">
        <f>GenerarResolucion[[#This Row],[Empresa2]]</f>
        <v/>
      </c>
      <c r="C7" s="150">
        <f>IF('Resumen global'!$E$7="ANS",'Resumen global'!$E$8,GenerarResolucion[[#This Row],[Importe oferta]])</f>
        <v>48100</v>
      </c>
      <c r="D7" s="147" t="str">
        <f>GenerarResolucion[[#This Row],[Precio medio]]</f>
        <v/>
      </c>
      <c r="E7" s="148" t="str">
        <f>IFERROR(GenerarResolucion[[#This Row],[Medios humanos]]*'Resumen global'!$E$13,"")</f>
        <v/>
      </c>
      <c r="F7" s="148" t="str">
        <f>IFERROR(GenerarResolucion[[#This Row],[Precio]]*'Resumen global'!$E$14,"")</f>
        <v/>
      </c>
      <c r="G7" s="148" t="str">
        <f>IFERROR(GenerarResolucion[[#This Row],[Puntuación homologación]]*'Resumen global'!$E$15,"")</f>
        <v/>
      </c>
      <c r="H7" s="149">
        <f>IF(OR(GenerarResolucion[[#This Row],[Memoria técnica  (Máximo 10)]]=0,GenerarResolucion[[#This Row],[Memoria técnica  (Máximo 10)]]=999),0,GenerarResolucion[[#This Row],[Memoria técnica  (Máximo 10)]]*'Resumen global'!$E$16)</f>
        <v>0</v>
      </c>
      <c r="I7" s="151" t="str">
        <f>GenerarResolucion[[#This Row],[Observaciones]]</f>
        <v/>
      </c>
    </row>
    <row r="8" spans="1:14" x14ac:dyDescent="0.3">
      <c r="B8" s="145" t="str">
        <f>GenerarResolucion[[#This Row],[Empresa2]]</f>
        <v/>
      </c>
      <c r="C8" s="150">
        <f>IF('Resumen global'!$E$7="ANS",'Resumen global'!$E$8,GenerarResolucion[[#This Row],[Importe oferta]])</f>
        <v>48100</v>
      </c>
      <c r="D8" s="147" t="str">
        <f>GenerarResolucion[[#This Row],[Precio medio]]</f>
        <v/>
      </c>
      <c r="E8" s="148" t="str">
        <f>IFERROR(GenerarResolucion[[#This Row],[Medios humanos]]*'Resumen global'!$E$13,"")</f>
        <v/>
      </c>
      <c r="F8" s="148" t="str">
        <f>IFERROR(GenerarResolucion[[#This Row],[Precio]]*'Resumen global'!$E$14,"")</f>
        <v/>
      </c>
      <c r="G8" s="148" t="str">
        <f>IFERROR(GenerarResolucion[[#This Row],[Puntuación homologación]]*'Resumen global'!$E$15,"")</f>
        <v/>
      </c>
      <c r="H8" s="149">
        <f>IF(OR(GenerarResolucion[[#This Row],[Memoria técnica  (Máximo 10)]]=0,GenerarResolucion[[#This Row],[Memoria técnica  (Máximo 10)]]=999),0,GenerarResolucion[[#This Row],[Memoria técnica  (Máximo 10)]]*'Resumen global'!$E$16)</f>
        <v>0</v>
      </c>
      <c r="I8" s="151" t="str">
        <f>GenerarResolucion[[#This Row],[Observaciones]]</f>
        <v/>
      </c>
    </row>
    <row r="9" spans="1:14" x14ac:dyDescent="0.3">
      <c r="B9" s="145" t="str">
        <f>GenerarResolucion[[#This Row],[Empresa2]]</f>
        <v/>
      </c>
      <c r="C9" s="150">
        <f>IF('Resumen global'!$E$7="ANS",'Resumen global'!$E$8,GenerarResolucion[[#This Row],[Importe oferta]])</f>
        <v>48100</v>
      </c>
      <c r="D9" s="147" t="str">
        <f>GenerarResolucion[[#This Row],[Precio medio]]</f>
        <v/>
      </c>
      <c r="E9" s="148" t="str">
        <f>IFERROR(GenerarResolucion[[#This Row],[Medios humanos]]*'Resumen global'!$E$13,"")</f>
        <v/>
      </c>
      <c r="F9" s="148" t="str">
        <f>IFERROR(GenerarResolucion[[#This Row],[Precio]]*'Resumen global'!$E$14,"")</f>
        <v/>
      </c>
      <c r="G9" s="148" t="str">
        <f>IFERROR(GenerarResolucion[[#This Row],[Puntuación homologación]]*'Resumen global'!$E$15,"")</f>
        <v/>
      </c>
      <c r="H9" s="149">
        <f>IF(OR(GenerarResolucion[[#This Row],[Memoria técnica  (Máximo 10)]]=0,GenerarResolucion[[#This Row],[Memoria técnica  (Máximo 10)]]=999),0,GenerarResolucion[[#This Row],[Memoria técnica  (Máximo 10)]]*'Resumen global'!$E$16)</f>
        <v>0</v>
      </c>
      <c r="I9" s="151" t="str">
        <f>GenerarResolucion[[#This Row],[Observaciones]]</f>
        <v/>
      </c>
    </row>
    <row r="10" spans="1:14" x14ac:dyDescent="0.3">
      <c r="B10" s="145" t="str">
        <f>GenerarResolucion[[#This Row],[Empresa2]]</f>
        <v/>
      </c>
      <c r="C10" s="150">
        <f>IF('Resumen global'!$E$7="ANS",'Resumen global'!$E$8,GenerarResolucion[[#This Row],[Importe oferta]])</f>
        <v>48100</v>
      </c>
      <c r="D10" s="147" t="str">
        <f>GenerarResolucion[[#This Row],[Precio medio]]</f>
        <v/>
      </c>
      <c r="E10" s="148" t="str">
        <f>IFERROR(GenerarResolucion[[#This Row],[Medios humanos]]*'Resumen global'!$E$13,"")</f>
        <v/>
      </c>
      <c r="F10" s="148" t="str">
        <f>IFERROR(GenerarResolucion[[#This Row],[Precio]]*'Resumen global'!$E$14,"")</f>
        <v/>
      </c>
      <c r="G10" s="148" t="str">
        <f>IFERROR(GenerarResolucion[[#This Row],[Puntuación homologación]]*'Resumen global'!$E$15,"")</f>
        <v/>
      </c>
      <c r="H10" s="149">
        <f>IF(OR(GenerarResolucion[[#This Row],[Memoria técnica  (Máximo 10)]]=0,GenerarResolucion[[#This Row],[Memoria técnica  (Máximo 10)]]=999),0,GenerarResolucion[[#This Row],[Memoria técnica  (Máximo 10)]]*'Resumen global'!$E$16)</f>
        <v>0</v>
      </c>
      <c r="I10" s="151" t="str">
        <f>GenerarResolucion[[#This Row],[Observaciones]]</f>
        <v/>
      </c>
    </row>
    <row r="14" spans="1:14" x14ac:dyDescent="0.3">
      <c r="B14" s="3" t="str" cm="1">
        <f t="array" aca="1" ref="B14" ca="1">IFERROR(INDIRECT($A$3&amp;"!A29"),"")</f>
        <v/>
      </c>
      <c r="C14" s="3" t="str" cm="1">
        <f t="array" aca="1" ref="C14" ca="1">IFERROR(INDIRECT($A$3&amp;"!B29"),"")</f>
        <v/>
      </c>
    </row>
    <row r="15" spans="1:14" x14ac:dyDescent="0.3">
      <c r="B15" s="2" t="str" cm="1">
        <f t="array" aca="1" ref="B15" ca="1">IFERROR(INDIRECT($A$3&amp;"!A30"),"")</f>
        <v/>
      </c>
      <c r="C15" s="40" t="str" cm="1">
        <f t="array" aca="1" ref="C15" ca="1">IF(B15&lt;&gt;"",IFERROR(INDIRECT($A$3&amp;"!B30"),""),"")</f>
        <v/>
      </c>
    </row>
    <row r="16" spans="1:14" x14ac:dyDescent="0.3">
      <c r="B16" s="2" t="str" cm="1">
        <f t="array" aca="1" ref="B16" ca="1">IFERROR(INDIRECT($A$3&amp;"!A31"),"")</f>
        <v/>
      </c>
      <c r="C16" s="40" t="str" cm="1">
        <f t="array" aca="1" ref="C16" ca="1">IF(B16&lt;&gt;"",IFERROR(INDIRECT($A$3&amp;"!B31"),""),"")</f>
        <v/>
      </c>
    </row>
    <row r="17" spans="2:3" x14ac:dyDescent="0.3">
      <c r="B17" s="2" t="str" cm="1">
        <f t="array" aca="1" ref="B17" ca="1">IFERROR(INDIRECT($A$3&amp;"!A32"),"")</f>
        <v/>
      </c>
      <c r="C17" s="40" t="str" cm="1">
        <f t="array" aca="1" ref="C17" ca="1">IF(B17&lt;&gt;"",IFERROR(INDIRECT($A$3&amp;"!B32"),""),"")</f>
        <v/>
      </c>
    </row>
    <row r="18" spans="2:3" x14ac:dyDescent="0.3">
      <c r="B18" s="2" t="str" cm="1">
        <f t="array" aca="1" ref="B18" ca="1">IFERROR(INDIRECT($A$3&amp;"!A33"),"")</f>
        <v/>
      </c>
      <c r="C18" s="40" t="str" cm="1">
        <f t="array" aca="1" ref="C18" ca="1">IF(B18&lt;&gt;"",IFERROR(INDIRECT($A$3&amp;"!B33"),""),"")</f>
        <v/>
      </c>
    </row>
    <row r="19" spans="2:3" x14ac:dyDescent="0.3">
      <c r="B19" s="2" t="str" cm="1">
        <f t="array" aca="1" ref="B19" ca="1">IFERROR(INDIRECT($A$3&amp;"!A34"),"")</f>
        <v/>
      </c>
      <c r="C19" s="40" t="str" cm="1">
        <f t="array" aca="1" ref="C19" ca="1">IF(B19&lt;&gt;"",IFERROR(INDIRECT($A$3&amp;"!B34"),""),"")</f>
        <v/>
      </c>
    </row>
    <row r="20" spans="2:3" x14ac:dyDescent="0.3">
      <c r="B20" s="2" t="str" cm="1">
        <f t="array" aca="1" ref="B20" ca="1">IFERROR(INDIRECT($A$3&amp;"!A35"),"")</f>
        <v/>
      </c>
      <c r="C20" s="40" t="str" cm="1">
        <f t="array" aca="1" ref="C20" ca="1">IF(B20&lt;&gt;"",IFERROR(INDIRECT($A$3&amp;"!B35"),""),"")</f>
        <v/>
      </c>
    </row>
    <row r="21" spans="2:3" x14ac:dyDescent="0.3">
      <c r="B21" s="2" t="str" cm="1">
        <f t="array" aca="1" ref="B21" ca="1">IFERROR(INDIRECT($A$3&amp;"!A36"),"")</f>
        <v/>
      </c>
      <c r="C21" s="40" t="str" cm="1">
        <f t="array" aca="1" ref="C21" ca="1">IF(B21&lt;&gt;"",IFERROR(INDIRECT($A$3&amp;"!B36"),""),"")</f>
        <v/>
      </c>
    </row>
    <row r="22" spans="2:3" x14ac:dyDescent="0.3">
      <c r="B22" s="27"/>
      <c r="C22" s="27"/>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02E2A-C75C-47F6-ACFA-AF626974F336}">
  <sheetPr codeName="Hoja9"/>
  <dimension ref="B2:N10"/>
  <sheetViews>
    <sheetView topLeftCell="C1" workbookViewId="0">
      <selection activeCell="I3" sqref="I3"/>
    </sheetView>
  </sheetViews>
  <sheetFormatPr baseColWidth="10" defaultColWidth="11.44140625" defaultRowHeight="14.4" x14ac:dyDescent="0.3"/>
  <cols>
    <col min="2" max="2" width="10.88671875" bestFit="1" customWidth="1"/>
    <col min="3" max="3" width="11.88671875" bestFit="1" customWidth="1"/>
    <col min="4" max="4" width="16.33203125" bestFit="1" customWidth="1"/>
    <col min="5" max="5" width="15" bestFit="1" customWidth="1"/>
    <col min="6" max="6" width="18.6640625" bestFit="1" customWidth="1"/>
    <col min="7" max="7" width="8.88671875" bestFit="1" customWidth="1"/>
    <col min="8" max="8" width="26.5546875" bestFit="1" customWidth="1"/>
    <col min="9" max="9" width="30.5546875" bestFit="1" customWidth="1"/>
    <col min="10" max="10" width="8.88671875" bestFit="1" customWidth="1"/>
    <col min="11" max="11" width="12.109375" bestFit="1" customWidth="1"/>
    <col min="12" max="12" width="22.6640625" bestFit="1" customWidth="1"/>
    <col min="13" max="13" width="13.5546875" bestFit="1" customWidth="1"/>
    <col min="14" max="14" width="16.33203125" bestFit="1" customWidth="1"/>
  </cols>
  <sheetData>
    <row r="2" spans="2:14" x14ac:dyDescent="0.3">
      <c r="B2" t="s">
        <v>110</v>
      </c>
      <c r="C2" t="s">
        <v>111</v>
      </c>
      <c r="D2" t="s">
        <v>112</v>
      </c>
      <c r="E2" t="s">
        <v>113</v>
      </c>
      <c r="F2" t="s">
        <v>64</v>
      </c>
      <c r="G2" t="s">
        <v>65</v>
      </c>
      <c r="H2" t="s">
        <v>66</v>
      </c>
      <c r="I2" t="s">
        <v>114</v>
      </c>
      <c r="J2" t="s">
        <v>50</v>
      </c>
      <c r="K2" t="s">
        <v>115</v>
      </c>
      <c r="L2" t="s">
        <v>51</v>
      </c>
      <c r="M2" t="s">
        <v>126</v>
      </c>
      <c r="N2" t="s">
        <v>127</v>
      </c>
    </row>
    <row r="3" spans="2:14" x14ac:dyDescent="0.3">
      <c r="B3" t="s">
        <v>382</v>
      </c>
      <c r="C3" t="s">
        <v>382</v>
      </c>
      <c r="D3" t="s">
        <v>382</v>
      </c>
      <c r="E3" t="s">
        <v>382</v>
      </c>
      <c r="F3" t="s">
        <v>382</v>
      </c>
      <c r="G3" t="s">
        <v>382</v>
      </c>
      <c r="H3" t="s">
        <v>382</v>
      </c>
      <c r="I3">
        <v>999</v>
      </c>
      <c r="J3" t="s">
        <v>382</v>
      </c>
      <c r="K3" t="s">
        <v>382</v>
      </c>
      <c r="M3" t="s">
        <v>382</v>
      </c>
      <c r="N3" t="s">
        <v>382</v>
      </c>
    </row>
    <row r="4" spans="2:14" x14ac:dyDescent="0.3">
      <c r="B4" t="s">
        <v>382</v>
      </c>
      <c r="C4" t="s">
        <v>382</v>
      </c>
      <c r="D4" t="s">
        <v>382</v>
      </c>
      <c r="E4" t="s">
        <v>382</v>
      </c>
      <c r="F4" t="s">
        <v>382</v>
      </c>
      <c r="G4" t="s">
        <v>382</v>
      </c>
      <c r="H4" t="s">
        <v>382</v>
      </c>
      <c r="I4">
        <v>999</v>
      </c>
      <c r="J4" t="s">
        <v>382</v>
      </c>
      <c r="K4" t="s">
        <v>382</v>
      </c>
      <c r="M4" t="s">
        <v>382</v>
      </c>
      <c r="N4" t="s">
        <v>382</v>
      </c>
    </row>
    <row r="5" spans="2:14" x14ac:dyDescent="0.3">
      <c r="B5" t="s">
        <v>382</v>
      </c>
      <c r="C5" t="s">
        <v>382</v>
      </c>
      <c r="D5" t="s">
        <v>382</v>
      </c>
      <c r="E5" t="s">
        <v>382</v>
      </c>
      <c r="F5" t="s">
        <v>382</v>
      </c>
      <c r="G5" t="s">
        <v>382</v>
      </c>
      <c r="H5" t="s">
        <v>382</v>
      </c>
      <c r="I5">
        <v>999</v>
      </c>
      <c r="J5" t="s">
        <v>382</v>
      </c>
      <c r="K5" t="s">
        <v>382</v>
      </c>
      <c r="M5" t="s">
        <v>382</v>
      </c>
      <c r="N5" t="s">
        <v>382</v>
      </c>
    </row>
    <row r="6" spans="2:14" x14ac:dyDescent="0.3">
      <c r="B6" t="s">
        <v>382</v>
      </c>
      <c r="C6" t="s">
        <v>382</v>
      </c>
      <c r="D6" t="s">
        <v>382</v>
      </c>
      <c r="E6" t="s">
        <v>382</v>
      </c>
      <c r="F6" t="s">
        <v>382</v>
      </c>
      <c r="G6" t="s">
        <v>382</v>
      </c>
      <c r="H6" t="s">
        <v>382</v>
      </c>
      <c r="I6">
        <v>999</v>
      </c>
      <c r="J6" t="s">
        <v>382</v>
      </c>
      <c r="K6" t="s">
        <v>382</v>
      </c>
      <c r="M6" t="s">
        <v>382</v>
      </c>
      <c r="N6" t="s">
        <v>382</v>
      </c>
    </row>
    <row r="7" spans="2:14" x14ac:dyDescent="0.3">
      <c r="B7" t="s">
        <v>382</v>
      </c>
      <c r="C7" t="s">
        <v>382</v>
      </c>
      <c r="D7" t="s">
        <v>382</v>
      </c>
      <c r="E7" t="s">
        <v>382</v>
      </c>
      <c r="F7" t="s">
        <v>382</v>
      </c>
      <c r="G7" t="s">
        <v>382</v>
      </c>
      <c r="H7" t="s">
        <v>382</v>
      </c>
      <c r="I7">
        <v>999</v>
      </c>
      <c r="J7" t="s">
        <v>382</v>
      </c>
      <c r="K7" t="s">
        <v>382</v>
      </c>
      <c r="M7" t="s">
        <v>382</v>
      </c>
      <c r="N7" t="s">
        <v>382</v>
      </c>
    </row>
    <row r="8" spans="2:14" x14ac:dyDescent="0.3">
      <c r="B8" t="s">
        <v>382</v>
      </c>
      <c r="C8" t="s">
        <v>382</v>
      </c>
      <c r="D8" t="s">
        <v>382</v>
      </c>
      <c r="E8" t="s">
        <v>382</v>
      </c>
      <c r="F8" t="s">
        <v>382</v>
      </c>
      <c r="G8" t="s">
        <v>382</v>
      </c>
      <c r="H8" t="s">
        <v>382</v>
      </c>
      <c r="I8">
        <v>999</v>
      </c>
      <c r="J8" t="s">
        <v>382</v>
      </c>
      <c r="K8" t="s">
        <v>382</v>
      </c>
      <c r="M8" t="s">
        <v>382</v>
      </c>
      <c r="N8" t="s">
        <v>382</v>
      </c>
    </row>
    <row r="9" spans="2:14" x14ac:dyDescent="0.3">
      <c r="B9" t="s">
        <v>382</v>
      </c>
      <c r="C9" t="s">
        <v>382</v>
      </c>
      <c r="D9" t="s">
        <v>382</v>
      </c>
      <c r="E9" t="s">
        <v>382</v>
      </c>
      <c r="F9" t="s">
        <v>382</v>
      </c>
      <c r="G9" t="s">
        <v>382</v>
      </c>
      <c r="H9" t="s">
        <v>382</v>
      </c>
      <c r="I9">
        <v>999</v>
      </c>
      <c r="J9" t="s">
        <v>382</v>
      </c>
      <c r="K9" t="s">
        <v>382</v>
      </c>
      <c r="M9" t="s">
        <v>382</v>
      </c>
      <c r="N9" t="s">
        <v>382</v>
      </c>
    </row>
    <row r="10" spans="2:14" x14ac:dyDescent="0.3">
      <c r="B10" t="s">
        <v>382</v>
      </c>
      <c r="C10" t="s">
        <v>382</v>
      </c>
      <c r="D10" t="s">
        <v>382</v>
      </c>
      <c r="E10" t="s">
        <v>382</v>
      </c>
      <c r="F10" t="s">
        <v>382</v>
      </c>
      <c r="G10" t="s">
        <v>382</v>
      </c>
      <c r="H10" t="s">
        <v>382</v>
      </c>
      <c r="I10">
        <v>999</v>
      </c>
      <c r="J10" t="s">
        <v>382</v>
      </c>
      <c r="K10" t="s">
        <v>382</v>
      </c>
      <c r="M10" t="s">
        <v>382</v>
      </c>
      <c r="N10" t="s">
        <v>382</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40587-F339-40FE-9783-EB211ABE5298}">
  <sheetPr codeName="Hoja3"/>
  <dimension ref="A1:P79"/>
  <sheetViews>
    <sheetView showGridLines="0" topLeftCell="A4" workbookViewId="0">
      <selection activeCell="G67" sqref="G67"/>
    </sheetView>
  </sheetViews>
  <sheetFormatPr baseColWidth="10" defaultColWidth="11.44140625" defaultRowHeight="14.4" x14ac:dyDescent="0.3"/>
  <cols>
    <col min="1" max="1" width="11.44140625" style="26"/>
    <col min="2" max="2" width="20.5546875" bestFit="1" customWidth="1"/>
    <col min="3" max="3" width="56.44140625" bestFit="1" customWidth="1"/>
    <col min="4" max="4" width="17" customWidth="1"/>
    <col min="5" max="5" width="16.6640625" customWidth="1"/>
    <col min="6" max="6" width="14.44140625" customWidth="1"/>
    <col min="7" max="11" width="10.6640625" customWidth="1"/>
    <col min="12" max="12" width="4.88671875" bestFit="1" customWidth="1"/>
    <col min="16" max="16" width="56.44140625" bestFit="1" customWidth="1"/>
  </cols>
  <sheetData>
    <row r="1" spans="1:16" ht="76.5" customHeight="1" x14ac:dyDescent="0.3">
      <c r="B1" s="254" t="s">
        <v>128</v>
      </c>
      <c r="C1" s="255"/>
      <c r="D1" s="3" t="s">
        <v>129</v>
      </c>
      <c r="E1" s="3" t="s">
        <v>130</v>
      </c>
      <c r="F1" s="3" t="s">
        <v>131</v>
      </c>
      <c r="G1" s="3" t="s">
        <v>132</v>
      </c>
      <c r="H1" s="3" t="s">
        <v>133</v>
      </c>
      <c r="I1" s="3" t="s">
        <v>134</v>
      </c>
      <c r="J1" s="3" t="s">
        <v>135</v>
      </c>
      <c r="K1" s="3" t="s">
        <v>136</v>
      </c>
      <c r="L1" s="3" t="s">
        <v>137</v>
      </c>
      <c r="M1" s="3" t="s">
        <v>138</v>
      </c>
      <c r="N1" s="3"/>
      <c r="O1" s="3"/>
    </row>
    <row r="2" spans="1:16" x14ac:dyDescent="0.3">
      <c r="A2" s="26" t="s">
        <v>139</v>
      </c>
      <c r="B2" s="6" t="s">
        <v>385</v>
      </c>
      <c r="C2" s="49" t="s">
        <v>386</v>
      </c>
      <c r="D2" s="5">
        <v>27.5</v>
      </c>
      <c r="E2" s="5">
        <v>20</v>
      </c>
      <c r="F2" s="5">
        <f t="shared" ref="F2:F9" si="0">(D2+E2)*10/49</f>
        <v>9.6938775510204085</v>
      </c>
      <c r="G2" s="5">
        <v>45</v>
      </c>
      <c r="H2" s="5">
        <v>44</v>
      </c>
      <c r="I2" s="5">
        <v>43</v>
      </c>
      <c r="J2" s="5">
        <v>33</v>
      </c>
      <c r="K2" s="5">
        <v>23.5</v>
      </c>
      <c r="L2" s="23">
        <v>1</v>
      </c>
      <c r="M2" s="23">
        <v>24</v>
      </c>
      <c r="N2" s="23" t="str">
        <f>CONCATENATE(B2,L2)</f>
        <v>TEKNEI_IT1</v>
      </c>
      <c r="O2" s="5">
        <f>+F2</f>
        <v>9.6938775510204085</v>
      </c>
      <c r="P2" s="49" t="str">
        <f>+C2</f>
        <v>TEKNEI INFORMATION TECHNOLOGY S.L.</v>
      </c>
    </row>
    <row r="3" spans="1:16" x14ac:dyDescent="0.3">
      <c r="A3" s="26" t="s">
        <v>140</v>
      </c>
      <c r="B3" s="6" t="s">
        <v>141</v>
      </c>
      <c r="C3" s="49" t="s">
        <v>142</v>
      </c>
      <c r="D3" s="5">
        <v>25.15</v>
      </c>
      <c r="E3" s="5">
        <v>20</v>
      </c>
      <c r="F3" s="5">
        <f t="shared" si="0"/>
        <v>9.2142857142857135</v>
      </c>
      <c r="G3" s="5">
        <v>43</v>
      </c>
      <c r="H3" s="5">
        <v>43</v>
      </c>
      <c r="I3" s="5">
        <v>41</v>
      </c>
      <c r="J3" s="5">
        <v>33</v>
      </c>
      <c r="K3" s="5">
        <v>25</v>
      </c>
      <c r="L3" s="23">
        <v>1</v>
      </c>
      <c r="M3" s="23">
        <v>24</v>
      </c>
      <c r="N3" s="23" t="str">
        <f t="shared" ref="N3:N38" si="1">CONCATENATE(B3,L3)</f>
        <v>INETUM1</v>
      </c>
      <c r="O3" s="5">
        <f t="shared" ref="O3:O38" si="2">+F3</f>
        <v>9.2142857142857135</v>
      </c>
      <c r="P3" s="49" t="str">
        <f t="shared" ref="P3:P38" si="3">+C3</f>
        <v>INETUM NORTE, S.L.U.</v>
      </c>
    </row>
    <row r="4" spans="1:16" x14ac:dyDescent="0.3">
      <c r="A4" s="26" t="s">
        <v>143</v>
      </c>
      <c r="B4" s="6" t="s">
        <v>144</v>
      </c>
      <c r="C4" s="49" t="s">
        <v>145</v>
      </c>
      <c r="D4" s="5">
        <v>26.75</v>
      </c>
      <c r="E4" s="5">
        <v>15</v>
      </c>
      <c r="F4" s="5">
        <f t="shared" si="0"/>
        <v>8.5204081632653068</v>
      </c>
      <c r="G4" s="5">
        <v>45.6</v>
      </c>
      <c r="H4" s="5">
        <v>45.6</v>
      </c>
      <c r="I4" s="5">
        <v>43.5</v>
      </c>
      <c r="J4" s="5">
        <v>35</v>
      </c>
      <c r="K4" s="5">
        <v>25</v>
      </c>
      <c r="L4" s="23">
        <v>1</v>
      </c>
      <c r="M4" s="23">
        <v>33</v>
      </c>
      <c r="N4" s="23" t="str">
        <f t="shared" si="1"/>
        <v>SERIKAT1</v>
      </c>
      <c r="O4" s="5">
        <f t="shared" si="2"/>
        <v>8.5204081632653068</v>
      </c>
      <c r="P4" s="49" t="str">
        <f t="shared" si="3"/>
        <v>SERIKAT CONSULTORÍA E INFORMÁTICA, S.A.</v>
      </c>
    </row>
    <row r="5" spans="1:16" x14ac:dyDescent="0.3">
      <c r="A5" s="26" t="s">
        <v>146</v>
      </c>
      <c r="B5" s="6" t="s">
        <v>147</v>
      </c>
      <c r="C5" s="49" t="s">
        <v>148</v>
      </c>
      <c r="D5" s="5">
        <v>22</v>
      </c>
      <c r="E5" s="5">
        <v>16.25</v>
      </c>
      <c r="F5" s="5">
        <f t="shared" si="0"/>
        <v>7.8061224489795915</v>
      </c>
      <c r="G5" s="5">
        <v>41</v>
      </c>
      <c r="H5" s="5">
        <v>41</v>
      </c>
      <c r="I5" s="5">
        <v>37</v>
      </c>
      <c r="J5" s="5">
        <v>31</v>
      </c>
      <c r="K5" s="5">
        <v>24</v>
      </c>
      <c r="L5" s="23">
        <v>1</v>
      </c>
      <c r="M5" s="23">
        <v>24</v>
      </c>
      <c r="N5" s="23" t="str">
        <f t="shared" si="1"/>
        <v>DEUSTO1</v>
      </c>
      <c r="O5" s="5">
        <f t="shared" si="2"/>
        <v>7.8061224489795915</v>
      </c>
      <c r="P5" s="49" t="str">
        <f t="shared" si="3"/>
        <v>DEUSTO SEIDOR S.A.</v>
      </c>
    </row>
    <row r="6" spans="1:16" x14ac:dyDescent="0.3">
      <c r="A6" s="26" t="s">
        <v>149</v>
      </c>
      <c r="B6" s="6" t="s">
        <v>383</v>
      </c>
      <c r="C6" s="49" t="s">
        <v>150</v>
      </c>
      <c r="D6" s="5">
        <v>20.25</v>
      </c>
      <c r="E6" s="5">
        <v>16.25</v>
      </c>
      <c r="F6" s="5">
        <f t="shared" si="0"/>
        <v>7.4489795918367347</v>
      </c>
      <c r="G6" s="5">
        <v>50</v>
      </c>
      <c r="H6" s="5">
        <v>50</v>
      </c>
      <c r="I6" s="5">
        <v>40.799999999999997</v>
      </c>
      <c r="J6" s="5">
        <v>31.45</v>
      </c>
      <c r="K6" s="5">
        <v>25.1</v>
      </c>
      <c r="L6" s="23">
        <v>1</v>
      </c>
      <c r="M6" s="23">
        <v>24</v>
      </c>
      <c r="N6" s="23" t="str">
        <f t="shared" si="1"/>
        <v>UTE_TEKNEI1</v>
      </c>
      <c r="O6" s="5">
        <f t="shared" si="2"/>
        <v>7.4489795918367347</v>
      </c>
      <c r="P6" s="49" t="str">
        <f t="shared" si="3"/>
        <v>TEKNEI DIGITAL S.A.U., TEKNEI INFORMATION  TECHNOLOGY S.L., SISTEMAS Y TRATAMIENTOS INFORMÁTICOS S.L.U., MATHEMATICS FOR LIFE S.L., MERKATU INTERACTIVA S.L.</v>
      </c>
    </row>
    <row r="7" spans="1:16" x14ac:dyDescent="0.3">
      <c r="A7" s="26" t="s">
        <v>151</v>
      </c>
      <c r="B7" s="6" t="s">
        <v>152</v>
      </c>
      <c r="C7" s="49" t="s">
        <v>153</v>
      </c>
      <c r="D7" s="5">
        <v>19.5</v>
      </c>
      <c r="E7" s="5">
        <v>15</v>
      </c>
      <c r="F7" s="5">
        <f t="shared" si="0"/>
        <v>7.0408163265306118</v>
      </c>
      <c r="G7" s="5">
        <v>45</v>
      </c>
      <c r="H7" s="5">
        <v>43</v>
      </c>
      <c r="I7" s="5">
        <v>38.5</v>
      </c>
      <c r="J7" s="5">
        <v>30.5</v>
      </c>
      <c r="K7" s="5">
        <v>25.85</v>
      </c>
      <c r="L7" s="23">
        <v>1</v>
      </c>
      <c r="M7" s="23">
        <v>24</v>
      </c>
      <c r="N7" s="23" t="str">
        <f t="shared" si="1"/>
        <v>NTT_DATA1</v>
      </c>
      <c r="O7" s="5">
        <f t="shared" si="2"/>
        <v>7.0408163265306118</v>
      </c>
      <c r="P7" s="49" t="str">
        <f t="shared" si="3"/>
        <v>NTT DATA SPAIN S.L.U. ,NTT DATA CENTERS S.L.U. , UNIÓN TEMPORAL DE EMPRESAS</v>
      </c>
    </row>
    <row r="8" spans="1:16" x14ac:dyDescent="0.3">
      <c r="A8" s="26" t="s">
        <v>154</v>
      </c>
      <c r="B8" s="6" t="s">
        <v>155</v>
      </c>
      <c r="C8" s="49" t="s">
        <v>156</v>
      </c>
      <c r="D8" s="5">
        <v>17.350000000000001</v>
      </c>
      <c r="E8" s="5">
        <v>16.25</v>
      </c>
      <c r="F8" s="5">
        <f t="shared" si="0"/>
        <v>6.8571428571428568</v>
      </c>
      <c r="G8" s="5">
        <v>41</v>
      </c>
      <c r="H8" s="5">
        <v>41</v>
      </c>
      <c r="I8" s="5">
        <v>37</v>
      </c>
      <c r="J8" s="5">
        <v>28</v>
      </c>
      <c r="K8" s="5">
        <v>22.4</v>
      </c>
      <c r="L8" s="23">
        <v>1</v>
      </c>
      <c r="M8" s="23">
        <v>24</v>
      </c>
      <c r="N8" s="23" t="str">
        <f t="shared" si="1"/>
        <v>IBERMATICA1</v>
      </c>
      <c r="O8" s="5">
        <f t="shared" si="2"/>
        <v>6.8571428571428568</v>
      </c>
      <c r="P8" s="49" t="str">
        <f t="shared" si="3"/>
        <v>IBERMÁTICA, S.A.</v>
      </c>
    </row>
    <row r="9" spans="1:16" x14ac:dyDescent="0.3">
      <c r="A9" s="26" t="s">
        <v>157</v>
      </c>
      <c r="B9" s="6" t="s">
        <v>158</v>
      </c>
      <c r="C9" s="49" t="s">
        <v>159</v>
      </c>
      <c r="D9" s="5">
        <v>16.75</v>
      </c>
      <c r="E9" s="5">
        <v>13.75</v>
      </c>
      <c r="F9" s="5">
        <f t="shared" si="0"/>
        <v>6.2244897959183669</v>
      </c>
      <c r="G9" s="11">
        <v>47</v>
      </c>
      <c r="H9" s="11">
        <v>47</v>
      </c>
      <c r="I9" s="11">
        <v>41</v>
      </c>
      <c r="J9" s="11">
        <v>32</v>
      </c>
      <c r="K9" s="11">
        <v>27</v>
      </c>
      <c r="L9" s="24">
        <v>1</v>
      </c>
      <c r="M9" s="23">
        <v>24</v>
      </c>
      <c r="N9" s="23" t="str">
        <f t="shared" si="1"/>
        <v>INDRA1</v>
      </c>
      <c r="O9" s="5">
        <f t="shared" si="2"/>
        <v>6.2244897959183669</v>
      </c>
      <c r="P9" s="49" t="str">
        <f t="shared" si="3"/>
        <v>INDRA SOLUCIONES TECNOLOGIAS DE LA INFORMACION, S.L.U</v>
      </c>
    </row>
    <row r="10" spans="1:16" x14ac:dyDescent="0.3">
      <c r="F10" s="12" t="s">
        <v>160</v>
      </c>
      <c r="G10" s="12">
        <f>MAX(G2:G9)</f>
        <v>50</v>
      </c>
      <c r="H10" s="12">
        <f t="shared" ref="H10:K10" si="4">MAX(H2:H9)</f>
        <v>50</v>
      </c>
      <c r="I10" s="12">
        <f t="shared" si="4"/>
        <v>43.5</v>
      </c>
      <c r="J10" s="12">
        <f t="shared" si="4"/>
        <v>35</v>
      </c>
      <c r="K10" s="12">
        <f t="shared" si="4"/>
        <v>27</v>
      </c>
      <c r="L10" s="25"/>
      <c r="M10" s="13"/>
      <c r="N10" s="13" t="str">
        <f t="shared" si="1"/>
        <v/>
      </c>
      <c r="O10" s="5"/>
    </row>
    <row r="11" spans="1:16" x14ac:dyDescent="0.3">
      <c r="N11" t="str">
        <f t="shared" si="1"/>
        <v/>
      </c>
      <c r="O11" s="5"/>
    </row>
    <row r="12" spans="1:16" x14ac:dyDescent="0.3">
      <c r="A12" s="26" t="s">
        <v>161</v>
      </c>
      <c r="B12" s="6" t="s">
        <v>162</v>
      </c>
      <c r="C12" s="49" t="s">
        <v>163</v>
      </c>
      <c r="D12" s="5">
        <v>27</v>
      </c>
      <c r="E12" s="5">
        <v>20</v>
      </c>
      <c r="F12" s="5">
        <f t="shared" ref="F12:F19" si="5">(D12+E12)*10/49</f>
        <v>9.591836734693878</v>
      </c>
      <c r="G12" s="5">
        <v>45</v>
      </c>
      <c r="H12" s="5">
        <v>45</v>
      </c>
      <c r="I12" s="5">
        <v>40</v>
      </c>
      <c r="J12" s="5">
        <v>31.5</v>
      </c>
      <c r="K12" s="5">
        <v>24</v>
      </c>
      <c r="L12" s="23">
        <v>2</v>
      </c>
      <c r="M12" s="23">
        <v>24</v>
      </c>
      <c r="N12" s="23" t="str">
        <f t="shared" si="1"/>
        <v>UTE_ARIMA-ADIMEDIA2</v>
      </c>
      <c r="O12" s="5">
        <f t="shared" si="2"/>
        <v>9.591836734693878</v>
      </c>
      <c r="P12" s="49" t="str">
        <f t="shared" si="3"/>
        <v>COMUNICACIÓN INTERACTIVA ADIMEDIA, S.L. Y ARIMA SOFTWARE DESIGN, S.L., UNIÓN TEMPORAL DE EMPRESAS</v>
      </c>
    </row>
    <row r="13" spans="1:16" x14ac:dyDescent="0.3">
      <c r="A13" s="26" t="s">
        <v>164</v>
      </c>
      <c r="B13" s="6" t="s">
        <v>147</v>
      </c>
      <c r="C13" s="49" t="s">
        <v>165</v>
      </c>
      <c r="D13" s="5">
        <v>22</v>
      </c>
      <c r="E13" s="5">
        <v>16.25</v>
      </c>
      <c r="F13" s="5">
        <f t="shared" si="5"/>
        <v>7.8061224489795915</v>
      </c>
      <c r="G13" s="5">
        <v>41</v>
      </c>
      <c r="H13" s="5">
        <v>41</v>
      </c>
      <c r="I13" s="5">
        <v>37</v>
      </c>
      <c r="J13" s="5">
        <v>31</v>
      </c>
      <c r="K13" s="5">
        <v>24</v>
      </c>
      <c r="L13" s="23">
        <v>2</v>
      </c>
      <c r="M13" s="23">
        <v>24</v>
      </c>
      <c r="N13" s="23" t="str">
        <f t="shared" si="1"/>
        <v>DEUSTO2</v>
      </c>
      <c r="O13" s="5">
        <f t="shared" si="2"/>
        <v>7.8061224489795915</v>
      </c>
      <c r="P13" s="49" t="str">
        <f t="shared" si="3"/>
        <v>DEUSTO SEIDOR, S.A.</v>
      </c>
    </row>
    <row r="14" spans="1:16" x14ac:dyDescent="0.3">
      <c r="A14" s="26" t="s">
        <v>166</v>
      </c>
      <c r="B14" s="6" t="s">
        <v>385</v>
      </c>
      <c r="C14" s="49" t="s">
        <v>386</v>
      </c>
      <c r="D14" s="5">
        <v>27.5</v>
      </c>
      <c r="E14" s="5">
        <v>20</v>
      </c>
      <c r="F14" s="5">
        <f t="shared" si="5"/>
        <v>9.6938775510204085</v>
      </c>
      <c r="G14" s="5">
        <v>45</v>
      </c>
      <c r="H14" s="5">
        <v>44</v>
      </c>
      <c r="I14" s="5">
        <v>43</v>
      </c>
      <c r="J14" s="5">
        <v>33</v>
      </c>
      <c r="K14" s="5">
        <v>23.5</v>
      </c>
      <c r="L14" s="23">
        <v>2</v>
      </c>
      <c r="M14" s="23">
        <v>24</v>
      </c>
      <c r="N14" s="23" t="str">
        <f t="shared" si="1"/>
        <v>TEKNEI_IT2</v>
      </c>
      <c r="O14" s="5">
        <f t="shared" si="2"/>
        <v>9.6938775510204085</v>
      </c>
      <c r="P14" s="49" t="str">
        <f t="shared" si="3"/>
        <v>TEKNEI INFORMATION TECHNOLOGY S.L.</v>
      </c>
    </row>
    <row r="15" spans="1:16" x14ac:dyDescent="0.3">
      <c r="A15" s="26" t="s">
        <v>167</v>
      </c>
      <c r="B15" s="6" t="s">
        <v>152</v>
      </c>
      <c r="C15" s="49" t="s">
        <v>168</v>
      </c>
      <c r="D15" s="5">
        <v>19.5</v>
      </c>
      <c r="E15" s="5">
        <v>15</v>
      </c>
      <c r="F15" s="5">
        <f t="shared" si="5"/>
        <v>7.0408163265306118</v>
      </c>
      <c r="G15" s="5">
        <v>48</v>
      </c>
      <c r="H15" s="5">
        <v>48</v>
      </c>
      <c r="I15" s="5">
        <v>39</v>
      </c>
      <c r="J15" s="5">
        <v>32</v>
      </c>
      <c r="K15" s="5">
        <v>26.8</v>
      </c>
      <c r="L15" s="23">
        <v>2</v>
      </c>
      <c r="M15" s="23">
        <v>24</v>
      </c>
      <c r="N15" s="23" t="str">
        <f t="shared" si="1"/>
        <v>NTT_DATA2</v>
      </c>
      <c r="O15" s="5">
        <f t="shared" si="2"/>
        <v>7.0408163265306118</v>
      </c>
      <c r="P15" s="49" t="str">
        <f t="shared" si="3"/>
        <v>NTT DATA SPAIN, S.L.</v>
      </c>
    </row>
    <row r="16" spans="1:16" x14ac:dyDescent="0.3">
      <c r="A16" s="26" t="s">
        <v>169</v>
      </c>
      <c r="B16" s="6" t="s">
        <v>383</v>
      </c>
      <c r="C16" s="49" t="s">
        <v>150</v>
      </c>
      <c r="D16" s="5">
        <v>23.25</v>
      </c>
      <c r="E16" s="5">
        <v>16.25</v>
      </c>
      <c r="F16" s="5">
        <f t="shared" si="5"/>
        <v>8.0612244897959187</v>
      </c>
      <c r="G16" s="5">
        <v>50</v>
      </c>
      <c r="H16" s="5">
        <v>50</v>
      </c>
      <c r="I16" s="5">
        <v>40.799999999999997</v>
      </c>
      <c r="J16" s="5">
        <v>31.45</v>
      </c>
      <c r="K16" s="5">
        <v>25.1</v>
      </c>
      <c r="L16" s="23">
        <v>2</v>
      </c>
      <c r="M16" s="23">
        <v>24</v>
      </c>
      <c r="N16" s="23" t="str">
        <f t="shared" si="1"/>
        <v>UTE_TEKNEI2</v>
      </c>
      <c r="O16" s="5">
        <f t="shared" si="2"/>
        <v>8.0612244897959187</v>
      </c>
      <c r="P16" s="49" t="str">
        <f t="shared" si="3"/>
        <v>TEKNEI DIGITAL S.A.U., TEKNEI INFORMATION  TECHNOLOGY S.L., SISTEMAS Y TRATAMIENTOS INFORMÁTICOS S.L.U., MATHEMATICS FOR LIFE S.L., MERKATU INTERACTIVA S.L.</v>
      </c>
    </row>
    <row r="17" spans="1:16" x14ac:dyDescent="0.3">
      <c r="A17" s="26" t="s">
        <v>170</v>
      </c>
      <c r="B17" s="6" t="s">
        <v>155</v>
      </c>
      <c r="C17" s="49" t="s">
        <v>156</v>
      </c>
      <c r="D17" s="5">
        <v>17.350000000000001</v>
      </c>
      <c r="E17" s="5">
        <v>16.25</v>
      </c>
      <c r="F17" s="5">
        <f t="shared" si="5"/>
        <v>6.8571428571428568</v>
      </c>
      <c r="G17" s="5">
        <v>41</v>
      </c>
      <c r="H17" s="5">
        <v>41</v>
      </c>
      <c r="I17" s="5">
        <v>37</v>
      </c>
      <c r="J17" s="5">
        <v>28</v>
      </c>
      <c r="K17" s="5">
        <v>22.4</v>
      </c>
      <c r="L17" s="23">
        <v>2</v>
      </c>
      <c r="M17" s="23">
        <v>24</v>
      </c>
      <c r="N17" s="23" t="str">
        <f t="shared" si="1"/>
        <v>IBERMATICA2</v>
      </c>
      <c r="O17" s="5">
        <f t="shared" si="2"/>
        <v>6.8571428571428568</v>
      </c>
      <c r="P17" s="49" t="str">
        <f t="shared" si="3"/>
        <v>IBERMÁTICA, S.A.</v>
      </c>
    </row>
    <row r="18" spans="1:16" x14ac:dyDescent="0.3">
      <c r="A18" s="26" t="s">
        <v>171</v>
      </c>
      <c r="B18" s="6" t="s">
        <v>141</v>
      </c>
      <c r="C18" s="49" t="s">
        <v>142</v>
      </c>
      <c r="D18" s="5">
        <v>25.15</v>
      </c>
      <c r="E18" s="5">
        <v>20</v>
      </c>
      <c r="F18" s="5">
        <f t="shared" si="5"/>
        <v>9.2142857142857135</v>
      </c>
      <c r="G18" s="5">
        <v>43</v>
      </c>
      <c r="H18" s="5">
        <v>43</v>
      </c>
      <c r="I18" s="5">
        <v>41</v>
      </c>
      <c r="J18" s="5">
        <v>33</v>
      </c>
      <c r="K18" s="5">
        <v>25</v>
      </c>
      <c r="L18" s="23">
        <v>2</v>
      </c>
      <c r="M18" s="23">
        <v>24</v>
      </c>
      <c r="N18" s="23" t="str">
        <f t="shared" si="1"/>
        <v>INETUM2</v>
      </c>
      <c r="O18" s="5">
        <f t="shared" si="2"/>
        <v>9.2142857142857135</v>
      </c>
      <c r="P18" s="49" t="str">
        <f t="shared" si="3"/>
        <v>INETUM NORTE, S.L.U.</v>
      </c>
    </row>
    <row r="19" spans="1:16" x14ac:dyDescent="0.3">
      <c r="A19" s="26" t="s">
        <v>172</v>
      </c>
      <c r="B19" s="6" t="s">
        <v>144</v>
      </c>
      <c r="C19" s="49" t="s">
        <v>145</v>
      </c>
      <c r="D19" s="5">
        <v>26.75</v>
      </c>
      <c r="E19" s="5">
        <v>15</v>
      </c>
      <c r="F19" s="5">
        <f t="shared" si="5"/>
        <v>8.5204081632653068</v>
      </c>
      <c r="G19" s="5">
        <v>45.6</v>
      </c>
      <c r="H19" s="5">
        <v>45.6</v>
      </c>
      <c r="I19" s="5">
        <v>43.5</v>
      </c>
      <c r="J19" s="5">
        <v>35</v>
      </c>
      <c r="K19" s="5">
        <v>25</v>
      </c>
      <c r="L19" s="23">
        <v>2</v>
      </c>
      <c r="M19" s="23">
        <v>33</v>
      </c>
      <c r="N19" s="23" t="str">
        <f t="shared" si="1"/>
        <v>SERIKAT2</v>
      </c>
      <c r="O19" s="5">
        <f t="shared" si="2"/>
        <v>8.5204081632653068</v>
      </c>
      <c r="P19" s="49" t="str">
        <f t="shared" si="3"/>
        <v>SERIKAT CONSULTORÍA E INFORMÁTICA, S.A.</v>
      </c>
    </row>
    <row r="20" spans="1:16" x14ac:dyDescent="0.3">
      <c r="F20" s="12" t="s">
        <v>160</v>
      </c>
      <c r="G20" s="12">
        <f>MAX(G12:G19)</f>
        <v>50</v>
      </c>
      <c r="H20" s="12">
        <f t="shared" ref="H20:K20" si="6">MAX(H12:H19)</f>
        <v>50</v>
      </c>
      <c r="I20" s="12">
        <f t="shared" si="6"/>
        <v>43.5</v>
      </c>
      <c r="J20" s="12">
        <f t="shared" si="6"/>
        <v>35</v>
      </c>
      <c r="K20" s="12">
        <f t="shared" si="6"/>
        <v>26.8</v>
      </c>
      <c r="L20" s="25"/>
      <c r="N20" t="str">
        <f t="shared" si="1"/>
        <v/>
      </c>
      <c r="O20" s="5"/>
    </row>
    <row r="21" spans="1:16" x14ac:dyDescent="0.3">
      <c r="N21" t="str">
        <f t="shared" si="1"/>
        <v/>
      </c>
      <c r="O21" s="5"/>
    </row>
    <row r="22" spans="1:16" x14ac:dyDescent="0.3">
      <c r="A22" s="26" t="s">
        <v>173</v>
      </c>
      <c r="B22" s="6" t="s">
        <v>174</v>
      </c>
      <c r="C22" s="2" t="s">
        <v>175</v>
      </c>
      <c r="D22" s="5">
        <v>15.25</v>
      </c>
      <c r="E22" s="5">
        <v>15</v>
      </c>
      <c r="F22" s="5">
        <f>(D22+E22)*10/49</f>
        <v>6.1734693877551017</v>
      </c>
      <c r="G22" s="5">
        <v>53</v>
      </c>
      <c r="H22" s="5"/>
      <c r="I22" s="5"/>
      <c r="J22" s="5">
        <v>37</v>
      </c>
      <c r="K22" s="5">
        <v>32</v>
      </c>
      <c r="L22" s="23">
        <v>3</v>
      </c>
      <c r="M22" s="23">
        <v>24</v>
      </c>
      <c r="N22" s="23" t="str">
        <f t="shared" si="1"/>
        <v>ECONOCOM3</v>
      </c>
      <c r="O22" s="5">
        <f t="shared" si="2"/>
        <v>6.1734693877551017</v>
      </c>
      <c r="P22" s="2" t="str">
        <f t="shared" si="3"/>
        <v>ECONOCOM SERVICIOS S.A.</v>
      </c>
    </row>
    <row r="23" spans="1:16" x14ac:dyDescent="0.3">
      <c r="A23" s="26" t="s">
        <v>176</v>
      </c>
      <c r="B23" s="6" t="s">
        <v>141</v>
      </c>
      <c r="C23" s="2" t="s">
        <v>142</v>
      </c>
      <c r="D23" s="5">
        <v>21.75</v>
      </c>
      <c r="E23" s="5">
        <v>15</v>
      </c>
      <c r="F23" s="5">
        <f>(D23+E23)*10/49</f>
        <v>7.5</v>
      </c>
      <c r="G23" s="5">
        <v>45</v>
      </c>
      <c r="H23" s="5"/>
      <c r="I23" s="5"/>
      <c r="J23" s="5">
        <v>35</v>
      </c>
      <c r="K23" s="5">
        <v>25</v>
      </c>
      <c r="L23" s="23">
        <v>3</v>
      </c>
      <c r="M23" s="23">
        <v>24</v>
      </c>
      <c r="N23" s="23" t="str">
        <f t="shared" si="1"/>
        <v>INETUM3</v>
      </c>
      <c r="O23" s="5">
        <f t="shared" si="2"/>
        <v>7.5</v>
      </c>
      <c r="P23" s="2" t="str">
        <f t="shared" si="3"/>
        <v>INETUM NORTE, S.L.U.</v>
      </c>
    </row>
    <row r="24" spans="1:16" x14ac:dyDescent="0.3">
      <c r="A24" s="26" t="s">
        <v>177</v>
      </c>
      <c r="B24" s="6" t="s">
        <v>178</v>
      </c>
      <c r="C24" s="2" t="s">
        <v>179</v>
      </c>
      <c r="D24" s="5">
        <v>19</v>
      </c>
      <c r="E24" s="5">
        <v>11.25</v>
      </c>
      <c r="F24" s="5">
        <f>(D24+E24)*10/49</f>
        <v>6.1734693877551017</v>
      </c>
      <c r="G24" s="5">
        <v>42</v>
      </c>
      <c r="H24" s="5"/>
      <c r="I24" s="5"/>
      <c r="J24" s="5">
        <v>30</v>
      </c>
      <c r="K24" s="5">
        <v>25.5</v>
      </c>
      <c r="L24" s="23">
        <v>3</v>
      </c>
      <c r="M24" s="23">
        <v>24</v>
      </c>
      <c r="N24" s="23" t="str">
        <f t="shared" si="1"/>
        <v>SOPRA3</v>
      </c>
      <c r="O24" s="5">
        <f t="shared" si="2"/>
        <v>6.1734693877551017</v>
      </c>
      <c r="P24" s="2" t="str">
        <f t="shared" si="3"/>
        <v>SOPRA STERIA EUSKADI, S.L.</v>
      </c>
    </row>
    <row r="25" spans="1:16" x14ac:dyDescent="0.3">
      <c r="A25" s="26" t="s">
        <v>180</v>
      </c>
      <c r="B25" s="6" t="s">
        <v>181</v>
      </c>
      <c r="C25" s="2" t="s">
        <v>182</v>
      </c>
      <c r="D25" s="5">
        <v>18.5</v>
      </c>
      <c r="E25" s="5">
        <v>15</v>
      </c>
      <c r="F25" s="5">
        <f>(D25+E25)*10/49</f>
        <v>6.8367346938775508</v>
      </c>
      <c r="G25" s="5">
        <v>45</v>
      </c>
      <c r="H25" s="5"/>
      <c r="I25" s="5"/>
      <c r="J25" s="5">
        <v>35</v>
      </c>
      <c r="K25" s="5">
        <v>25</v>
      </c>
      <c r="L25" s="23">
        <v>3</v>
      </c>
      <c r="M25" s="23">
        <v>24</v>
      </c>
      <c r="N25" s="23" t="str">
        <f t="shared" si="1"/>
        <v>VERSIA3</v>
      </c>
      <c r="O25" s="5">
        <f t="shared" si="2"/>
        <v>6.8367346938775508</v>
      </c>
      <c r="P25" s="2" t="str">
        <f t="shared" si="3"/>
        <v>VERSIA SISTEMAS TI, S.A.</v>
      </c>
    </row>
    <row r="26" spans="1:16" x14ac:dyDescent="0.3">
      <c r="F26" s="12" t="s">
        <v>160</v>
      </c>
      <c r="G26" s="12">
        <f>MAX(G22:G25)</f>
        <v>53</v>
      </c>
      <c r="H26" s="12"/>
      <c r="I26" s="12"/>
      <c r="J26" s="12">
        <f t="shared" ref="J26:K26" si="7">MAX(J22:J25)</f>
        <v>37</v>
      </c>
      <c r="K26" s="12">
        <f t="shared" si="7"/>
        <v>32</v>
      </c>
      <c r="L26" s="25"/>
      <c r="N26" t="str">
        <f t="shared" si="1"/>
        <v/>
      </c>
      <c r="O26" s="5"/>
    </row>
    <row r="27" spans="1:16" x14ac:dyDescent="0.3">
      <c r="L27" s="26"/>
      <c r="N27" t="str">
        <f t="shared" si="1"/>
        <v/>
      </c>
      <c r="O27" s="5"/>
    </row>
    <row r="28" spans="1:16" x14ac:dyDescent="0.3">
      <c r="A28" s="26" t="s">
        <v>183</v>
      </c>
      <c r="B28" s="6" t="s">
        <v>174</v>
      </c>
      <c r="C28" s="2" t="s">
        <v>175</v>
      </c>
      <c r="D28" s="5">
        <v>16.95</v>
      </c>
      <c r="E28" s="5">
        <v>15</v>
      </c>
      <c r="F28" s="5">
        <f>(D28+E28)*10/49</f>
        <v>6.5204081632653059</v>
      </c>
      <c r="G28" s="5">
        <v>53</v>
      </c>
      <c r="H28" s="5"/>
      <c r="I28" s="5"/>
      <c r="J28" s="5"/>
      <c r="K28" s="5">
        <v>32</v>
      </c>
      <c r="L28" s="23">
        <v>4</v>
      </c>
      <c r="M28" s="23">
        <v>24</v>
      </c>
      <c r="N28" s="23" t="str">
        <f t="shared" si="1"/>
        <v>ECONOCOM4</v>
      </c>
      <c r="O28" s="5">
        <f t="shared" si="2"/>
        <v>6.5204081632653059</v>
      </c>
      <c r="P28" s="2" t="str">
        <f t="shared" si="3"/>
        <v>ECONOCOM SERVICIOS S.A.</v>
      </c>
    </row>
    <row r="29" spans="1:16" x14ac:dyDescent="0.3">
      <c r="A29" s="26" t="s">
        <v>184</v>
      </c>
      <c r="B29" s="6" t="s">
        <v>141</v>
      </c>
      <c r="C29" s="2" t="s">
        <v>142</v>
      </c>
      <c r="D29" s="5">
        <v>23</v>
      </c>
      <c r="E29" s="5">
        <v>15</v>
      </c>
      <c r="F29" s="5">
        <f>(D29+E29)*10/49</f>
        <v>7.7551020408163263</v>
      </c>
      <c r="G29" s="5">
        <v>45</v>
      </c>
      <c r="H29" s="5"/>
      <c r="I29" s="5"/>
      <c r="J29" s="5"/>
      <c r="K29" s="5">
        <v>25</v>
      </c>
      <c r="L29" s="23">
        <v>4</v>
      </c>
      <c r="M29" s="23">
        <v>24</v>
      </c>
      <c r="N29" s="23" t="str">
        <f t="shared" si="1"/>
        <v>INETUM4</v>
      </c>
      <c r="O29" s="5">
        <f t="shared" si="2"/>
        <v>7.7551020408163263</v>
      </c>
      <c r="P29" s="2" t="str">
        <f t="shared" si="3"/>
        <v>INETUM NORTE, S.L.U.</v>
      </c>
    </row>
    <row r="30" spans="1:16" x14ac:dyDescent="0.3">
      <c r="A30" s="26" t="s">
        <v>185</v>
      </c>
      <c r="B30" s="6" t="s">
        <v>186</v>
      </c>
      <c r="C30" s="2" t="s">
        <v>187</v>
      </c>
      <c r="D30" s="5">
        <v>23.25</v>
      </c>
      <c r="E30" s="5">
        <v>15</v>
      </c>
      <c r="F30" s="5">
        <f>(D30+E30)*10/49</f>
        <v>7.8061224489795915</v>
      </c>
      <c r="G30" s="5">
        <v>38</v>
      </c>
      <c r="H30" s="5"/>
      <c r="I30" s="5"/>
      <c r="J30" s="5"/>
      <c r="K30" s="5">
        <v>23</v>
      </c>
      <c r="L30" s="23">
        <v>4</v>
      </c>
      <c r="M30" s="23">
        <v>24</v>
      </c>
      <c r="N30" s="23" t="str">
        <f t="shared" si="1"/>
        <v>K354</v>
      </c>
      <c r="O30" s="5">
        <f t="shared" si="2"/>
        <v>7.8061224489795915</v>
      </c>
      <c r="P30" s="2" t="str">
        <f t="shared" si="3"/>
        <v>K35 IT MANAGERS GROUP, S.L.</v>
      </c>
    </row>
    <row r="31" spans="1:16" x14ac:dyDescent="0.3">
      <c r="A31" s="26" t="s">
        <v>188</v>
      </c>
      <c r="B31" s="6" t="s">
        <v>181</v>
      </c>
      <c r="C31" s="2" t="s">
        <v>189</v>
      </c>
      <c r="D31" s="5">
        <v>20.25</v>
      </c>
      <c r="E31" s="5">
        <v>15</v>
      </c>
      <c r="F31" s="5">
        <f>(D31+E31)*10/49</f>
        <v>7.1938775510204085</v>
      </c>
      <c r="G31" s="5">
        <v>45</v>
      </c>
      <c r="H31" s="5"/>
      <c r="I31" s="5"/>
      <c r="J31" s="5"/>
      <c r="K31" s="5">
        <v>32</v>
      </c>
      <c r="L31" s="23">
        <v>4</v>
      </c>
      <c r="M31" s="23">
        <v>24</v>
      </c>
      <c r="N31" s="23" t="str">
        <f t="shared" si="1"/>
        <v>VERSIA4</v>
      </c>
      <c r="O31" s="5">
        <f t="shared" si="2"/>
        <v>7.1938775510204085</v>
      </c>
      <c r="P31" s="2" t="str">
        <f t="shared" si="3"/>
        <v>VERSIA CONTACT CENTER, S.L.</v>
      </c>
    </row>
    <row r="32" spans="1:16" x14ac:dyDescent="0.3">
      <c r="F32" s="12" t="s">
        <v>160</v>
      </c>
      <c r="G32" s="12">
        <f>MAX(G28:G31)</f>
        <v>53</v>
      </c>
      <c r="H32" s="12"/>
      <c r="I32" s="12"/>
      <c r="J32" s="12"/>
      <c r="K32" s="12">
        <f t="shared" ref="K32" si="8">MAX(K28:K31)</f>
        <v>32</v>
      </c>
      <c r="L32" s="25"/>
      <c r="N32" t="str">
        <f t="shared" si="1"/>
        <v/>
      </c>
      <c r="O32" s="5"/>
    </row>
    <row r="33" spans="1:16" x14ac:dyDescent="0.3">
      <c r="L33" s="26"/>
      <c r="N33" t="str">
        <f t="shared" si="1"/>
        <v/>
      </c>
      <c r="O33" s="5"/>
    </row>
    <row r="34" spans="1:16" x14ac:dyDescent="0.3">
      <c r="A34" s="26" t="s">
        <v>190</v>
      </c>
      <c r="B34" s="6" t="s">
        <v>385</v>
      </c>
      <c r="C34" s="49" t="s">
        <v>384</v>
      </c>
      <c r="D34" s="5">
        <v>25.5</v>
      </c>
      <c r="E34" s="5">
        <v>20</v>
      </c>
      <c r="F34" s="5">
        <f>(D34+E34)*10/49</f>
        <v>9.2857142857142865</v>
      </c>
      <c r="G34" s="5">
        <v>45</v>
      </c>
      <c r="H34" s="5"/>
      <c r="I34" s="5">
        <v>35</v>
      </c>
      <c r="J34" s="5">
        <v>29</v>
      </c>
      <c r="K34" s="5">
        <v>23.5</v>
      </c>
      <c r="L34" s="23">
        <v>5</v>
      </c>
      <c r="M34" s="23">
        <v>24</v>
      </c>
      <c r="N34" s="23" t="str">
        <f t="shared" si="1"/>
        <v>TEKNEI_IT5</v>
      </c>
      <c r="O34" s="5">
        <f t="shared" si="2"/>
        <v>9.2857142857142865</v>
      </c>
      <c r="P34" s="2" t="str">
        <f t="shared" si="3"/>
        <v>TEKNEI INFORMATION TECHNOLOGY S.L.U</v>
      </c>
    </row>
    <row r="35" spans="1:16" x14ac:dyDescent="0.3">
      <c r="A35" s="26" t="s">
        <v>191</v>
      </c>
      <c r="B35" s="6" t="s">
        <v>155</v>
      </c>
      <c r="C35" s="2" t="s">
        <v>156</v>
      </c>
      <c r="D35" s="5">
        <v>25.5</v>
      </c>
      <c r="E35" s="5">
        <v>12.25</v>
      </c>
      <c r="F35" s="5">
        <f>(D35+E35)*10/49</f>
        <v>7.704081632653061</v>
      </c>
      <c r="G35" s="5">
        <v>30.46</v>
      </c>
      <c r="H35" s="5"/>
      <c r="I35" s="5">
        <v>17.21</v>
      </c>
      <c r="J35" s="5">
        <v>15.06</v>
      </c>
      <c r="K35" s="5">
        <v>14.1</v>
      </c>
      <c r="L35" s="23">
        <v>5</v>
      </c>
      <c r="M35" s="23">
        <v>24</v>
      </c>
      <c r="N35" s="23" t="str">
        <f t="shared" si="1"/>
        <v>IBERMATICA5</v>
      </c>
      <c r="O35" s="5">
        <f t="shared" si="2"/>
        <v>7.704081632653061</v>
      </c>
      <c r="P35" s="2" t="str">
        <f t="shared" si="3"/>
        <v>IBERMÁTICA, S.A.</v>
      </c>
    </row>
    <row r="36" spans="1:16" x14ac:dyDescent="0.3">
      <c r="A36" s="26" t="s">
        <v>192</v>
      </c>
      <c r="B36" s="6" t="s">
        <v>141</v>
      </c>
      <c r="C36" s="2" t="s">
        <v>142</v>
      </c>
      <c r="D36" s="5">
        <v>23.75</v>
      </c>
      <c r="E36" s="5">
        <v>15</v>
      </c>
      <c r="F36" s="5">
        <f>(D36+E36)*10/49</f>
        <v>7.908163265306122</v>
      </c>
      <c r="G36" s="5">
        <v>45</v>
      </c>
      <c r="H36" s="5"/>
      <c r="I36" s="5">
        <v>34</v>
      </c>
      <c r="J36" s="5">
        <v>28</v>
      </c>
      <c r="K36" s="5">
        <v>22</v>
      </c>
      <c r="L36" s="23">
        <v>5</v>
      </c>
      <c r="M36" s="23">
        <v>24</v>
      </c>
      <c r="N36" s="23" t="str">
        <f t="shared" si="1"/>
        <v>INETUM5</v>
      </c>
      <c r="O36" s="5">
        <f t="shared" si="2"/>
        <v>7.908163265306122</v>
      </c>
      <c r="P36" s="2" t="str">
        <f t="shared" si="3"/>
        <v>INETUM NORTE, S.L.U.</v>
      </c>
    </row>
    <row r="37" spans="1:16" x14ac:dyDescent="0.3">
      <c r="A37" s="26" t="s">
        <v>193</v>
      </c>
      <c r="B37" s="6" t="s">
        <v>194</v>
      </c>
      <c r="C37" s="2" t="s">
        <v>195</v>
      </c>
      <c r="D37" s="5">
        <v>19.75</v>
      </c>
      <c r="E37" s="5">
        <v>12.5</v>
      </c>
      <c r="F37" s="5">
        <f>(D37+E37)*10/49</f>
        <v>6.5816326530612246</v>
      </c>
      <c r="G37" s="5">
        <v>44.17</v>
      </c>
      <c r="H37" s="5"/>
      <c r="I37" s="5">
        <v>26.96</v>
      </c>
      <c r="J37" s="5">
        <v>22.95</v>
      </c>
      <c r="K37" s="5">
        <v>18.21</v>
      </c>
      <c r="L37" s="23">
        <v>5</v>
      </c>
      <c r="M37" s="23">
        <v>24</v>
      </c>
      <c r="N37" s="23" t="str">
        <f t="shared" si="1"/>
        <v>SOLUTIA5</v>
      </c>
      <c r="O37" s="5">
        <f t="shared" si="2"/>
        <v>6.5816326530612246</v>
      </c>
      <c r="P37" s="2" t="str">
        <f t="shared" si="3"/>
        <v>SOLUTIA INNOVAWORLD TECHNOLOGIES, S.L.</v>
      </c>
    </row>
    <row r="38" spans="1:16" x14ac:dyDescent="0.3">
      <c r="A38" s="26" t="s">
        <v>196</v>
      </c>
      <c r="B38" s="6" t="s">
        <v>181</v>
      </c>
      <c r="C38" s="2" t="s">
        <v>189</v>
      </c>
      <c r="D38" s="5">
        <v>20</v>
      </c>
      <c r="E38" s="5">
        <v>15</v>
      </c>
      <c r="F38" s="5">
        <f>(D38+E38)*10/49</f>
        <v>7.1428571428571432</v>
      </c>
      <c r="G38" s="5">
        <v>45</v>
      </c>
      <c r="H38" s="5"/>
      <c r="I38" s="5">
        <v>38</v>
      </c>
      <c r="J38" s="5">
        <v>31</v>
      </c>
      <c r="K38" s="5">
        <v>25</v>
      </c>
      <c r="L38" s="23">
        <v>5</v>
      </c>
      <c r="M38" s="23">
        <v>24</v>
      </c>
      <c r="N38" s="23" t="str">
        <f t="shared" si="1"/>
        <v>VERSIA5</v>
      </c>
      <c r="O38" s="5">
        <f t="shared" si="2"/>
        <v>7.1428571428571432</v>
      </c>
      <c r="P38" s="2" t="str">
        <f t="shared" si="3"/>
        <v>VERSIA CONTACT CENTER, S.L.</v>
      </c>
    </row>
    <row r="39" spans="1:16" x14ac:dyDescent="0.3">
      <c r="F39" s="12" t="s">
        <v>160</v>
      </c>
      <c r="G39" s="12">
        <f>MAX(G34:G38)</f>
        <v>45</v>
      </c>
      <c r="H39" s="12">
        <f t="shared" ref="H39:K39" si="9">MAX(H34:H38)</f>
        <v>0</v>
      </c>
      <c r="I39" s="12">
        <f t="shared" si="9"/>
        <v>38</v>
      </c>
      <c r="J39" s="12">
        <f t="shared" si="9"/>
        <v>31</v>
      </c>
      <c r="K39" s="12">
        <f t="shared" si="9"/>
        <v>25</v>
      </c>
      <c r="L39" s="25"/>
    </row>
    <row r="40" spans="1:16" x14ac:dyDescent="0.3">
      <c r="F40" s="12" t="s">
        <v>197</v>
      </c>
      <c r="G40" s="12">
        <v>53</v>
      </c>
      <c r="H40" s="12">
        <v>53</v>
      </c>
      <c r="I40" s="12">
        <v>48</v>
      </c>
      <c r="J40" s="12">
        <v>37</v>
      </c>
      <c r="K40" s="12">
        <v>32</v>
      </c>
      <c r="L40" s="12"/>
    </row>
    <row r="43" spans="1:16" x14ac:dyDescent="0.3">
      <c r="C43" s="41" t="s">
        <v>198</v>
      </c>
      <c r="D43" s="41" t="s">
        <v>199</v>
      </c>
      <c r="P43" s="41"/>
    </row>
    <row r="44" spans="1:16" x14ac:dyDescent="0.3">
      <c r="C44" s="5" t="s">
        <v>200</v>
      </c>
      <c r="D44" s="5" t="s">
        <v>201</v>
      </c>
      <c r="P44" s="5"/>
    </row>
    <row r="45" spans="1:16" x14ac:dyDescent="0.3">
      <c r="C45" s="5" t="s">
        <v>202</v>
      </c>
      <c r="D45" s="5" t="s">
        <v>203</v>
      </c>
      <c r="P45" s="5"/>
    </row>
    <row r="46" spans="1:16" x14ac:dyDescent="0.3">
      <c r="C46" s="5" t="s">
        <v>204</v>
      </c>
      <c r="P46" s="5"/>
    </row>
    <row r="47" spans="1:16" x14ac:dyDescent="0.3">
      <c r="C47" s="5" t="s">
        <v>205</v>
      </c>
      <c r="P47" s="5"/>
    </row>
    <row r="48" spans="1:16" x14ac:dyDescent="0.3">
      <c r="C48" s="5" t="s">
        <v>206</v>
      </c>
      <c r="P48" s="5"/>
    </row>
    <row r="50" spans="2:16" ht="60.75" customHeight="1" x14ac:dyDescent="0.3">
      <c r="B50" s="256" t="s">
        <v>207</v>
      </c>
      <c r="C50" s="256"/>
      <c r="D50" s="50" t="s">
        <v>208</v>
      </c>
      <c r="E50" s="50" t="s">
        <v>86</v>
      </c>
    </row>
    <row r="51" spans="2:16" x14ac:dyDescent="0.3">
      <c r="B51" s="5" t="s">
        <v>209</v>
      </c>
      <c r="C51" s="5" t="s">
        <v>210</v>
      </c>
      <c r="D51" s="5">
        <f>+G40</f>
        <v>53</v>
      </c>
      <c r="E51" s="51">
        <v>1</v>
      </c>
      <c r="P51" s="5"/>
    </row>
    <row r="52" spans="2:16" x14ac:dyDescent="0.3">
      <c r="B52" s="5" t="s">
        <v>211</v>
      </c>
      <c r="C52" s="5" t="s">
        <v>212</v>
      </c>
      <c r="D52" s="5">
        <f>+G40</f>
        <v>53</v>
      </c>
      <c r="E52" s="51">
        <v>1</v>
      </c>
      <c r="P52" s="5"/>
    </row>
    <row r="53" spans="2:16" x14ac:dyDescent="0.3">
      <c r="B53" s="5" t="s">
        <v>213</v>
      </c>
      <c r="C53" s="5" t="s">
        <v>214</v>
      </c>
      <c r="D53" s="5">
        <f>+I40</f>
        <v>48</v>
      </c>
      <c r="E53" s="51">
        <v>1</v>
      </c>
      <c r="P53" s="5"/>
    </row>
    <row r="54" spans="2:16" x14ac:dyDescent="0.3">
      <c r="B54" s="5" t="s">
        <v>215</v>
      </c>
      <c r="C54" s="5" t="s">
        <v>216</v>
      </c>
      <c r="D54" s="5">
        <f>+I40</f>
        <v>48</v>
      </c>
      <c r="E54" s="51">
        <v>1</v>
      </c>
      <c r="P54" s="5"/>
    </row>
    <row r="55" spans="2:16" x14ac:dyDescent="0.3">
      <c r="B55" s="5" t="s">
        <v>217</v>
      </c>
      <c r="C55" s="5" t="s">
        <v>218</v>
      </c>
      <c r="D55" s="5">
        <f>+J40</f>
        <v>37</v>
      </c>
      <c r="E55" s="51">
        <v>0.8</v>
      </c>
      <c r="P55" s="5"/>
    </row>
    <row r="56" spans="2:16" x14ac:dyDescent="0.3">
      <c r="B56" s="22" t="s">
        <v>219</v>
      </c>
      <c r="C56" s="5" t="s">
        <v>220</v>
      </c>
      <c r="D56" s="5">
        <f>+J40</f>
        <v>37</v>
      </c>
      <c r="E56" s="51">
        <v>0.8</v>
      </c>
      <c r="P56" s="5"/>
    </row>
    <row r="57" spans="2:16" x14ac:dyDescent="0.3">
      <c r="B57" s="5" t="s">
        <v>221</v>
      </c>
      <c r="C57" s="5" t="s">
        <v>222</v>
      </c>
      <c r="D57" s="5">
        <f>+J40</f>
        <v>37</v>
      </c>
      <c r="E57" s="51">
        <v>0.8</v>
      </c>
      <c r="P57" s="5"/>
    </row>
    <row r="58" spans="2:16" x14ac:dyDescent="0.3">
      <c r="B58" s="5" t="s">
        <v>223</v>
      </c>
      <c r="C58" s="5" t="s">
        <v>224</v>
      </c>
      <c r="D58" s="5">
        <f>+J40</f>
        <v>37</v>
      </c>
      <c r="E58" s="51">
        <v>1</v>
      </c>
      <c r="P58" s="5"/>
    </row>
    <row r="59" spans="2:16" x14ac:dyDescent="0.3">
      <c r="B59" s="5" t="s">
        <v>225</v>
      </c>
      <c r="C59" s="5" t="s">
        <v>226</v>
      </c>
      <c r="D59" s="5">
        <f>+K40</f>
        <v>32</v>
      </c>
      <c r="E59" s="51">
        <v>0.4</v>
      </c>
      <c r="P59" s="5"/>
    </row>
    <row r="60" spans="2:16" x14ac:dyDescent="0.3">
      <c r="B60" s="22" t="s">
        <v>227</v>
      </c>
      <c r="C60" s="5" t="s">
        <v>228</v>
      </c>
      <c r="D60" s="5">
        <f>+K40</f>
        <v>32</v>
      </c>
      <c r="E60" s="51">
        <v>0.4</v>
      </c>
      <c r="P60" s="5"/>
    </row>
    <row r="61" spans="2:16" x14ac:dyDescent="0.3">
      <c r="B61" s="5" t="s">
        <v>229</v>
      </c>
      <c r="C61" s="5" t="s">
        <v>230</v>
      </c>
      <c r="D61" s="5">
        <f>+K40</f>
        <v>32</v>
      </c>
      <c r="E61" s="51">
        <v>0.4</v>
      </c>
      <c r="P61" s="5"/>
    </row>
    <row r="62" spans="2:16" x14ac:dyDescent="0.3">
      <c r="B62" s="5" t="s">
        <v>231</v>
      </c>
      <c r="C62" s="5" t="s">
        <v>232</v>
      </c>
      <c r="D62" s="5">
        <f>+K40</f>
        <v>32</v>
      </c>
      <c r="E62" s="51">
        <v>0.8</v>
      </c>
      <c r="P62" s="5"/>
    </row>
    <row r="65" spans="2:16" ht="33" customHeight="1" x14ac:dyDescent="0.3">
      <c r="C65" s="42" t="s">
        <v>233</v>
      </c>
      <c r="D65" s="42" t="s">
        <v>64</v>
      </c>
      <c r="E65" s="42" t="s">
        <v>65</v>
      </c>
      <c r="F65" s="42" t="s">
        <v>66</v>
      </c>
      <c r="G65" s="42" t="s">
        <v>67</v>
      </c>
      <c r="H65" s="42" t="s">
        <v>234</v>
      </c>
      <c r="P65" s="42"/>
    </row>
    <row r="66" spans="2:16" x14ac:dyDescent="0.3">
      <c r="C66" s="6" t="s">
        <v>235</v>
      </c>
      <c r="D66" s="43">
        <v>0.5</v>
      </c>
      <c r="E66" s="43">
        <v>0.2</v>
      </c>
      <c r="F66" s="43">
        <v>0.3</v>
      </c>
      <c r="G66" s="43">
        <v>0</v>
      </c>
      <c r="H66" s="44">
        <f>SUM(D66:G66)</f>
        <v>1</v>
      </c>
      <c r="P66" s="6"/>
    </row>
    <row r="67" spans="2:16" x14ac:dyDescent="0.3">
      <c r="C67" s="6" t="s">
        <v>236</v>
      </c>
      <c r="D67" s="43">
        <v>0</v>
      </c>
      <c r="E67" s="43">
        <v>0.21</v>
      </c>
      <c r="F67" s="43">
        <v>0.3</v>
      </c>
      <c r="G67" s="43">
        <v>0.49</v>
      </c>
      <c r="H67" s="44">
        <f t="shared" ref="H67:H68" si="10">SUM(D67:G67)</f>
        <v>1</v>
      </c>
      <c r="P67" s="6"/>
    </row>
    <row r="68" spans="2:16" x14ac:dyDescent="0.3">
      <c r="C68" s="6" t="s">
        <v>237</v>
      </c>
      <c r="D68" s="43">
        <v>0.3</v>
      </c>
      <c r="E68" s="43">
        <v>0.2</v>
      </c>
      <c r="F68" s="43">
        <v>0.2</v>
      </c>
      <c r="G68" s="43">
        <v>0.3</v>
      </c>
      <c r="H68" s="44">
        <f t="shared" si="10"/>
        <v>1</v>
      </c>
      <c r="P68" s="6"/>
    </row>
    <row r="71" spans="2:16" x14ac:dyDescent="0.3">
      <c r="C71" s="54" t="s">
        <v>107</v>
      </c>
      <c r="P71" s="54"/>
    </row>
    <row r="72" spans="2:16" x14ac:dyDescent="0.3">
      <c r="C72" s="55" t="s">
        <v>238</v>
      </c>
      <c r="P72" s="55"/>
    </row>
    <row r="74" spans="2:16" x14ac:dyDescent="0.3">
      <c r="C74" s="42" t="s">
        <v>239</v>
      </c>
      <c r="P74" s="42"/>
    </row>
    <row r="75" spans="2:16" ht="57.6" x14ac:dyDescent="0.3">
      <c r="B75" s="127" t="s">
        <v>240</v>
      </c>
      <c r="C75" s="126" t="s">
        <v>241</v>
      </c>
      <c r="P75" s="126"/>
    </row>
    <row r="76" spans="2:16" ht="43.2" x14ac:dyDescent="0.3">
      <c r="B76" s="127" t="s">
        <v>242</v>
      </c>
      <c r="C76" s="126" t="s">
        <v>243</v>
      </c>
      <c r="P76" s="126"/>
    </row>
    <row r="77" spans="2:16" ht="43.2" x14ac:dyDescent="0.3">
      <c r="B77" s="127" t="s">
        <v>242</v>
      </c>
      <c r="C77" s="126" t="s">
        <v>244</v>
      </c>
      <c r="P77" s="126"/>
    </row>
    <row r="78" spans="2:16" ht="360" x14ac:dyDescent="0.3">
      <c r="B78" s="127" t="s">
        <v>242</v>
      </c>
      <c r="C78" s="126" t="s">
        <v>245</v>
      </c>
      <c r="P78" s="126"/>
    </row>
    <row r="79" spans="2:16" ht="129.6" x14ac:dyDescent="0.3">
      <c r="B79" s="127" t="s">
        <v>246</v>
      </c>
      <c r="C79" s="126" t="s">
        <v>247</v>
      </c>
    </row>
  </sheetData>
  <sortState xmlns:xlrd2="http://schemas.microsoft.com/office/spreadsheetml/2017/richdata2" ref="B2:K9">
    <sortCondition descending="1" ref="F2:F9"/>
  </sortState>
  <mergeCells count="2">
    <mergeCell ref="B1:C1"/>
    <mergeCell ref="B50:C50"/>
  </mergeCells>
  <phoneticPr fontId="8" type="noConversion"/>
  <pageMargins left="0.7" right="0.7" top="0.75" bottom="0.75" header="0.3" footer="0.3"/>
  <pageSetup paperSize="9" orientation="portrait" r:id="rId1"/>
  <ignoredErrors>
    <ignoredError sqref="G20:K20"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470B0-885C-4119-9FDC-E0D79ED9B670}">
  <sheetPr codeName="Hoja4"/>
  <dimension ref="A1:E80"/>
  <sheetViews>
    <sheetView showGridLines="0" workbookViewId="0">
      <selection activeCell="B30" sqref="B30"/>
    </sheetView>
  </sheetViews>
  <sheetFormatPr baseColWidth="10" defaultColWidth="11.44140625" defaultRowHeight="18" customHeight="1" x14ac:dyDescent="0.3"/>
  <cols>
    <col min="1" max="2" width="63.33203125" bestFit="1" customWidth="1"/>
    <col min="3" max="3" width="103" bestFit="1" customWidth="1"/>
    <col min="4" max="4" width="59.6640625" bestFit="1" customWidth="1"/>
    <col min="5" max="5" width="90.44140625" bestFit="1" customWidth="1"/>
  </cols>
  <sheetData>
    <row r="1" spans="1:5" ht="18" customHeight="1" x14ac:dyDescent="0.3">
      <c r="A1" s="257" t="s">
        <v>248</v>
      </c>
      <c r="B1" s="257"/>
      <c r="C1" s="257"/>
      <c r="D1" s="257"/>
      <c r="E1" s="257"/>
    </row>
    <row r="2" spans="1:5" ht="18" customHeight="1" x14ac:dyDescent="0.3">
      <c r="A2" s="15" t="s">
        <v>249</v>
      </c>
      <c r="B2" s="15" t="s">
        <v>250</v>
      </c>
      <c r="C2" s="15" t="s">
        <v>251</v>
      </c>
      <c r="D2" s="15" t="s">
        <v>252</v>
      </c>
      <c r="E2" s="15" t="s">
        <v>253</v>
      </c>
    </row>
    <row r="3" spans="1:5" ht="18" customHeight="1" x14ac:dyDescent="0.35">
      <c r="A3" s="5" t="s">
        <v>254</v>
      </c>
      <c r="B3" s="5" t="s">
        <v>254</v>
      </c>
      <c r="C3" s="5" t="s">
        <v>255</v>
      </c>
      <c r="D3" s="5" t="s">
        <v>256</v>
      </c>
      <c r="E3" s="5" t="s">
        <v>257</v>
      </c>
    </row>
    <row r="4" spans="1:5" ht="18" customHeight="1" x14ac:dyDescent="0.35">
      <c r="A4" s="5" t="s">
        <v>258</v>
      </c>
      <c r="B4" s="5" t="s">
        <v>258</v>
      </c>
      <c r="C4" s="5" t="s">
        <v>259</v>
      </c>
      <c r="D4" s="5" t="s">
        <v>260</v>
      </c>
      <c r="E4" s="5" t="s">
        <v>260</v>
      </c>
    </row>
    <row r="5" spans="1:5" ht="18" customHeight="1" x14ac:dyDescent="0.35">
      <c r="A5" s="5" t="s">
        <v>261</v>
      </c>
      <c r="B5" s="5" t="s">
        <v>261</v>
      </c>
      <c r="C5" s="5" t="s">
        <v>262</v>
      </c>
      <c r="D5" s="5" t="s">
        <v>263</v>
      </c>
      <c r="E5" s="5" t="s">
        <v>264</v>
      </c>
    </row>
    <row r="6" spans="1:5" ht="18" customHeight="1" x14ac:dyDescent="0.35">
      <c r="A6" s="5" t="s">
        <v>265</v>
      </c>
      <c r="B6" s="5" t="s">
        <v>265</v>
      </c>
      <c r="C6" s="5" t="s">
        <v>266</v>
      </c>
      <c r="D6" s="5" t="s">
        <v>267</v>
      </c>
      <c r="E6" s="5" t="s">
        <v>268</v>
      </c>
    </row>
    <row r="7" spans="1:5" ht="18" customHeight="1" x14ac:dyDescent="0.35">
      <c r="A7" s="5" t="s">
        <v>269</v>
      </c>
      <c r="B7" s="5" t="s">
        <v>269</v>
      </c>
      <c r="C7" s="5" t="s">
        <v>270</v>
      </c>
      <c r="D7" s="5" t="s">
        <v>271</v>
      </c>
    </row>
    <row r="8" spans="1:5" ht="18" customHeight="1" x14ac:dyDescent="0.35">
      <c r="A8" s="5" t="s">
        <v>272</v>
      </c>
      <c r="B8" s="5" t="s">
        <v>272</v>
      </c>
      <c r="C8" s="5" t="s">
        <v>273</v>
      </c>
      <c r="D8" s="5" t="s">
        <v>274</v>
      </c>
    </row>
    <row r="9" spans="1:5" ht="18" customHeight="1" x14ac:dyDescent="0.35">
      <c r="A9" s="5" t="s">
        <v>275</v>
      </c>
      <c r="B9" s="5" t="s">
        <v>275</v>
      </c>
      <c r="C9" s="5" t="s">
        <v>276</v>
      </c>
      <c r="D9" s="5" t="s">
        <v>277</v>
      </c>
    </row>
    <row r="10" spans="1:5" ht="18" customHeight="1" x14ac:dyDescent="0.35">
      <c r="A10" s="5" t="s">
        <v>278</v>
      </c>
      <c r="B10" s="5" t="s">
        <v>278</v>
      </c>
      <c r="C10" s="5" t="s">
        <v>279</v>
      </c>
      <c r="D10" s="5" t="s">
        <v>280</v>
      </c>
    </row>
    <row r="11" spans="1:5" ht="18" customHeight="1" x14ac:dyDescent="0.35">
      <c r="A11" s="5" t="s">
        <v>281</v>
      </c>
      <c r="B11" s="5" t="s">
        <v>281</v>
      </c>
      <c r="C11" s="5" t="s">
        <v>282</v>
      </c>
      <c r="D11" s="5" t="s">
        <v>283</v>
      </c>
    </row>
    <row r="12" spans="1:5" ht="18" customHeight="1" x14ac:dyDescent="0.3">
      <c r="A12" s="5" t="s">
        <v>284</v>
      </c>
      <c r="B12" s="5" t="s">
        <v>284</v>
      </c>
      <c r="C12" s="5" t="s">
        <v>285</v>
      </c>
      <c r="D12" s="5" t="s">
        <v>286</v>
      </c>
    </row>
    <row r="13" spans="1:5" ht="18" customHeight="1" x14ac:dyDescent="0.3">
      <c r="A13" s="5" t="s">
        <v>287</v>
      </c>
      <c r="B13" s="5" t="s">
        <v>287</v>
      </c>
      <c r="C13" s="5" t="s">
        <v>288</v>
      </c>
    </row>
    <row r="14" spans="1:5" ht="18" customHeight="1" x14ac:dyDescent="0.3">
      <c r="A14" s="5" t="s">
        <v>289</v>
      </c>
      <c r="B14" s="5" t="s">
        <v>289</v>
      </c>
      <c r="C14" s="5" t="s">
        <v>290</v>
      </c>
    </row>
    <row r="15" spans="1:5" ht="18" customHeight="1" x14ac:dyDescent="0.3">
      <c r="A15" s="5" t="s">
        <v>291</v>
      </c>
      <c r="B15" s="5" t="s">
        <v>291</v>
      </c>
      <c r="C15" s="5" t="s">
        <v>292</v>
      </c>
    </row>
    <row r="16" spans="1:5" ht="18" customHeight="1" x14ac:dyDescent="0.3">
      <c r="A16" s="5" t="s">
        <v>293</v>
      </c>
      <c r="B16" s="5" t="s">
        <v>294</v>
      </c>
      <c r="C16" s="5" t="s">
        <v>295</v>
      </c>
    </row>
    <row r="17" spans="1:3" ht="18" customHeight="1" x14ac:dyDescent="0.3">
      <c r="A17" s="5" t="s">
        <v>296</v>
      </c>
      <c r="B17" s="5" t="s">
        <v>296</v>
      </c>
      <c r="C17" s="5" t="s">
        <v>297</v>
      </c>
    </row>
    <row r="18" spans="1:3" ht="18" customHeight="1" x14ac:dyDescent="0.3">
      <c r="A18" s="5" t="s">
        <v>298</v>
      </c>
      <c r="B18" s="5" t="s">
        <v>298</v>
      </c>
      <c r="C18" s="5" t="s">
        <v>299</v>
      </c>
    </row>
    <row r="19" spans="1:3" ht="18" customHeight="1" x14ac:dyDescent="0.3">
      <c r="A19" s="5" t="s">
        <v>300</v>
      </c>
      <c r="B19" s="5" t="s">
        <v>300</v>
      </c>
      <c r="C19" s="5" t="s">
        <v>301</v>
      </c>
    </row>
    <row r="20" spans="1:3" ht="18" customHeight="1" x14ac:dyDescent="0.3">
      <c r="A20" s="5" t="s">
        <v>302</v>
      </c>
      <c r="B20" s="5" t="s">
        <v>302</v>
      </c>
      <c r="C20" s="5" t="s">
        <v>303</v>
      </c>
    </row>
    <row r="21" spans="1:3" ht="18" customHeight="1" x14ac:dyDescent="0.3">
      <c r="A21" s="5" t="s">
        <v>304</v>
      </c>
      <c r="B21" s="5" t="s">
        <v>304</v>
      </c>
      <c r="C21" s="5" t="s">
        <v>305</v>
      </c>
    </row>
    <row r="22" spans="1:3" ht="18" customHeight="1" x14ac:dyDescent="0.3">
      <c r="A22" s="5" t="s">
        <v>306</v>
      </c>
      <c r="B22" s="5" t="s">
        <v>306</v>
      </c>
      <c r="C22" s="5" t="s">
        <v>286</v>
      </c>
    </row>
    <row r="23" spans="1:3" ht="18" customHeight="1" x14ac:dyDescent="0.3">
      <c r="A23" s="5" t="s">
        <v>307</v>
      </c>
      <c r="B23" s="5" t="s">
        <v>307</v>
      </c>
      <c r="C23" s="5" t="s">
        <v>308</v>
      </c>
    </row>
    <row r="24" spans="1:3" ht="18" customHeight="1" x14ac:dyDescent="0.3">
      <c r="A24" s="5" t="s">
        <v>309</v>
      </c>
      <c r="B24" s="5" t="s">
        <v>309</v>
      </c>
      <c r="C24" s="5" t="s">
        <v>310</v>
      </c>
    </row>
    <row r="25" spans="1:3" ht="18" customHeight="1" x14ac:dyDescent="0.3">
      <c r="A25" s="5" t="s">
        <v>311</v>
      </c>
      <c r="B25" s="5" t="s">
        <v>311</v>
      </c>
      <c r="C25" s="5" t="s">
        <v>312</v>
      </c>
    </row>
    <row r="26" spans="1:3" ht="18" customHeight="1" x14ac:dyDescent="0.3">
      <c r="A26" s="5" t="s">
        <v>313</v>
      </c>
      <c r="B26" s="5" t="s">
        <v>313</v>
      </c>
      <c r="C26" s="5" t="s">
        <v>314</v>
      </c>
    </row>
    <row r="27" spans="1:3" ht="18" customHeight="1" x14ac:dyDescent="0.3">
      <c r="A27" s="5" t="s">
        <v>315</v>
      </c>
      <c r="B27" s="5" t="s">
        <v>315</v>
      </c>
      <c r="C27" s="5" t="s">
        <v>316</v>
      </c>
    </row>
    <row r="28" spans="1:3" ht="18" customHeight="1" x14ac:dyDescent="0.3">
      <c r="A28" s="5" t="s">
        <v>317</v>
      </c>
      <c r="B28" s="5" t="s">
        <v>317</v>
      </c>
      <c r="C28" s="5" t="s">
        <v>318</v>
      </c>
    </row>
    <row r="29" spans="1:3" ht="18" customHeight="1" x14ac:dyDescent="0.3">
      <c r="C29" s="5" t="s">
        <v>319</v>
      </c>
    </row>
    <row r="30" spans="1:3" ht="18" customHeight="1" x14ac:dyDescent="0.3">
      <c r="C30" s="5" t="s">
        <v>320</v>
      </c>
    </row>
    <row r="80" spans="1:1" ht="18" customHeight="1" x14ac:dyDescent="0.35">
      <c r="A80" s="14" t="s">
        <v>321</v>
      </c>
    </row>
  </sheetData>
  <sheetProtection algorithmName="SHA-512" hashValue="3Jpk9vk4gmMg46qmplUv7OBWRgaB/WytTrlHd4E8Ak8DWaqjSIwKiJvGiZaldL7rL1UIWxQFbUY6P5abS066YQ==" saltValue="jhDjbv9RAh4CgL6+0XMzLg==" spinCount="100000" sheet="1" objects="1" scenarios="1"/>
  <mergeCells count="1">
    <mergeCell ref="A1:E1"/>
  </mergeCells>
  <phoneticPr fontId="8"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3F8B7-A89B-4638-A720-F8469EE04B48}">
  <sheetPr codeName="Hoja10"/>
  <dimension ref="A1:AN40"/>
  <sheetViews>
    <sheetView showGridLines="0" tabSelected="1" topLeftCell="A26" zoomScale="80" zoomScaleNormal="80" workbookViewId="0">
      <selection activeCell="E32" sqref="E32"/>
    </sheetView>
  </sheetViews>
  <sheetFormatPr baseColWidth="10" defaultColWidth="11.44140625" defaultRowHeight="13.2" x14ac:dyDescent="0.3"/>
  <cols>
    <col min="1" max="1" width="26.88671875" style="27" customWidth="1"/>
    <col min="2" max="2" width="20.44140625" style="27" customWidth="1"/>
    <col min="3" max="3" width="15.5546875" style="27" bestFit="1" customWidth="1"/>
    <col min="4" max="4" width="25.109375" style="27" customWidth="1"/>
    <col min="5" max="5" width="22.6640625" style="27" bestFit="1" customWidth="1"/>
    <col min="6" max="6" width="13.109375" style="27" bestFit="1" customWidth="1"/>
    <col min="7" max="7" width="23.109375" style="27" bestFit="1" customWidth="1"/>
    <col min="8" max="8" width="19.109375" style="27" bestFit="1" customWidth="1"/>
    <col min="9" max="11" width="21.44140625" style="27" bestFit="1" customWidth="1"/>
    <col min="12" max="12" width="16.33203125" style="27" bestFit="1" customWidth="1"/>
    <col min="13" max="13" width="18.6640625" style="27" bestFit="1" customWidth="1"/>
    <col min="14" max="14" width="16.33203125" style="27" bestFit="1" customWidth="1"/>
    <col min="15" max="15" width="18.6640625" style="27" bestFit="1" customWidth="1"/>
    <col min="16" max="16" width="16.33203125" style="27" bestFit="1" customWidth="1"/>
    <col min="17" max="17" width="18.6640625" style="27" bestFit="1" customWidth="1"/>
    <col min="18" max="18" width="16.33203125" style="27" bestFit="1" customWidth="1"/>
    <col min="19" max="19" width="18.6640625" style="27" bestFit="1" customWidth="1"/>
    <col min="20" max="23" width="5" style="27" hidden="1" customWidth="1"/>
    <col min="24" max="24" width="15.5546875" style="27" hidden="1" customWidth="1"/>
    <col min="25" max="27" width="5" style="27" hidden="1" customWidth="1"/>
    <col min="28" max="28" width="15.5546875" style="27" hidden="1" customWidth="1"/>
    <col min="29" max="36" width="5" style="27" hidden="1" customWidth="1"/>
    <col min="37" max="38" width="15.5546875" style="27" hidden="1" customWidth="1"/>
    <col min="39" max="39" width="12.6640625" style="27" hidden="1" customWidth="1"/>
    <col min="40" max="40" width="15.44140625" style="27" bestFit="1" customWidth="1"/>
    <col min="41" max="16384" width="11.44140625" style="27"/>
  </cols>
  <sheetData>
    <row r="1" spans="1:40" ht="15.75" hidden="1" customHeight="1" x14ac:dyDescent="0.3">
      <c r="A1" s="284" t="s">
        <v>322</v>
      </c>
      <c r="B1" s="284" t="s">
        <v>85</v>
      </c>
      <c r="C1" s="284" t="s">
        <v>323</v>
      </c>
      <c r="D1" s="287" t="s">
        <v>324</v>
      </c>
      <c r="E1" s="290" t="s">
        <v>73</v>
      </c>
      <c r="F1" s="290"/>
      <c r="G1" s="290"/>
      <c r="H1" s="290"/>
      <c r="I1" s="291" t="s">
        <v>75</v>
      </c>
      <c r="J1" s="291"/>
      <c r="K1" s="292"/>
      <c r="L1" s="262" t="s">
        <v>325</v>
      </c>
      <c r="M1" s="262"/>
      <c r="N1" s="262"/>
      <c r="O1" s="262"/>
      <c r="P1" s="262"/>
      <c r="Q1" s="262"/>
      <c r="R1" s="262"/>
      <c r="S1" s="262"/>
      <c r="T1" s="265" t="s">
        <v>73</v>
      </c>
      <c r="U1" s="265"/>
      <c r="V1" s="265"/>
      <c r="W1" s="265"/>
      <c r="X1" s="266" t="s">
        <v>50</v>
      </c>
      <c r="Y1" s="269" t="s">
        <v>326</v>
      </c>
      <c r="Z1" s="269"/>
      <c r="AA1" s="269"/>
      <c r="AB1" s="270" t="s">
        <v>50</v>
      </c>
      <c r="AC1" s="263" t="str">
        <f>+L1</f>
        <v>Conocimientos en entornos tecnológicos</v>
      </c>
      <c r="AD1" s="263"/>
      <c r="AE1" s="263"/>
      <c r="AF1" s="263"/>
      <c r="AG1" s="263"/>
      <c r="AH1" s="263"/>
      <c r="AI1" s="263"/>
      <c r="AJ1" s="263"/>
      <c r="AK1" s="278" t="s">
        <v>50</v>
      </c>
      <c r="AL1" s="281" t="s">
        <v>50</v>
      </c>
      <c r="AM1" s="281" t="s">
        <v>327</v>
      </c>
      <c r="AN1" s="258" t="s">
        <v>328</v>
      </c>
    </row>
    <row r="2" spans="1:40" ht="30.75" hidden="1" customHeight="1" x14ac:dyDescent="0.3">
      <c r="A2" s="285"/>
      <c r="B2" s="285"/>
      <c r="C2" s="285"/>
      <c r="D2" s="288"/>
      <c r="E2" s="290"/>
      <c r="F2" s="290"/>
      <c r="G2" s="290"/>
      <c r="H2" s="290"/>
      <c r="I2" s="180" t="str">
        <f>IF('Resumen global'!E27&lt;&gt;"",'Resumen global'!E27,"")</f>
        <v/>
      </c>
      <c r="J2" s="180" t="str">
        <f>IF('Resumen global'!E28&lt;&gt;"",'Resumen global'!E28,"")</f>
        <v/>
      </c>
      <c r="K2" s="180" t="str">
        <f>IF('Resumen global'!E29&lt;&gt;"",'Resumen global'!E29,"")</f>
        <v/>
      </c>
      <c r="L2" s="260" t="str">
        <f>IF('Resumen global'!E20&lt;&gt;"",'Resumen global'!E20,"")</f>
        <v/>
      </c>
      <c r="M2" s="261"/>
      <c r="N2" s="262" t="str">
        <f>IF('Resumen global'!E21&lt;&gt;"",'Resumen global'!E21,"")</f>
        <v/>
      </c>
      <c r="O2" s="261"/>
      <c r="P2" s="262" t="str">
        <f>IF('Resumen global'!E22&lt;&gt;"",'Resumen global'!E22,"")</f>
        <v/>
      </c>
      <c r="Q2" s="261"/>
      <c r="R2" s="262" t="str">
        <f>IF('Resumen global'!E23&lt;&gt;"",'Resumen global'!E23,"")</f>
        <v/>
      </c>
      <c r="S2" s="261"/>
      <c r="T2" s="265"/>
      <c r="U2" s="265"/>
      <c r="V2" s="265"/>
      <c r="W2" s="265"/>
      <c r="X2" s="267"/>
      <c r="Y2" s="269"/>
      <c r="Z2" s="269"/>
      <c r="AA2" s="269"/>
      <c r="AB2" s="271"/>
      <c r="AC2" s="263" t="str">
        <f>+L2</f>
        <v/>
      </c>
      <c r="AD2" s="264"/>
      <c r="AE2" s="263" t="str">
        <f>+N2</f>
        <v/>
      </c>
      <c r="AF2" s="264"/>
      <c r="AG2" s="263" t="str">
        <f>+P2</f>
        <v/>
      </c>
      <c r="AH2" s="264"/>
      <c r="AI2" s="263" t="str">
        <f>+R2</f>
        <v/>
      </c>
      <c r="AJ2" s="264"/>
      <c r="AK2" s="279"/>
      <c r="AL2" s="282"/>
      <c r="AM2" s="282"/>
      <c r="AN2" s="259"/>
    </row>
    <row r="3" spans="1:40" ht="28.8" hidden="1" x14ac:dyDescent="0.3">
      <c r="A3" s="286"/>
      <c r="B3" s="286"/>
      <c r="C3" s="286"/>
      <c r="D3" s="289"/>
      <c r="E3" s="153" t="s">
        <v>329</v>
      </c>
      <c r="F3" s="179" t="s">
        <v>330</v>
      </c>
      <c r="G3" s="179" t="s">
        <v>331</v>
      </c>
      <c r="H3" s="179" t="s">
        <v>332</v>
      </c>
      <c r="I3" s="164" t="s">
        <v>333</v>
      </c>
      <c r="J3" s="164" t="s">
        <v>333</v>
      </c>
      <c r="K3" s="164" t="s">
        <v>333</v>
      </c>
      <c r="L3" s="154" t="s">
        <v>334</v>
      </c>
      <c r="M3" s="154" t="s">
        <v>335</v>
      </c>
      <c r="N3" s="154" t="s">
        <v>334</v>
      </c>
      <c r="O3" s="154" t="s">
        <v>335</v>
      </c>
      <c r="P3" s="154" t="s">
        <v>334</v>
      </c>
      <c r="Q3" s="154" t="s">
        <v>335</v>
      </c>
      <c r="R3" s="154" t="s">
        <v>334</v>
      </c>
      <c r="S3" s="154" t="s">
        <v>335</v>
      </c>
      <c r="T3" s="155">
        <v>1</v>
      </c>
      <c r="U3" s="155" t="s">
        <v>336</v>
      </c>
      <c r="V3" s="155">
        <v>2</v>
      </c>
      <c r="W3" s="155" t="s">
        <v>336</v>
      </c>
      <c r="X3" s="268"/>
      <c r="Y3" s="156">
        <v>1</v>
      </c>
      <c r="Z3" s="156">
        <v>2</v>
      </c>
      <c r="AA3" s="156">
        <v>3</v>
      </c>
      <c r="AB3" s="272"/>
      <c r="AC3" s="157">
        <v>1</v>
      </c>
      <c r="AD3" s="157">
        <v>2</v>
      </c>
      <c r="AE3" s="157">
        <v>1</v>
      </c>
      <c r="AF3" s="157">
        <v>2</v>
      </c>
      <c r="AG3" s="157">
        <v>1</v>
      </c>
      <c r="AH3" s="157">
        <v>2</v>
      </c>
      <c r="AI3" s="157">
        <v>1</v>
      </c>
      <c r="AJ3" s="157">
        <v>2</v>
      </c>
      <c r="AK3" s="280"/>
      <c r="AL3" s="283"/>
      <c r="AM3" s="283"/>
      <c r="AN3" s="4">
        <f>IFERROR(SUM(AN4:AN24)/SUM(AM4:AM24),0)</f>
        <v>0</v>
      </c>
    </row>
    <row r="4" spans="1:40" ht="16.5" hidden="1" customHeight="1" x14ac:dyDescent="0.3">
      <c r="A4" s="40"/>
      <c r="B4" s="40"/>
      <c r="C4" s="57">
        <f>IFERROR(VLOOKUP(B4,'Resumen global'!$E$33:$F$39,2,FALSE),0)</f>
        <v>0</v>
      </c>
      <c r="D4" s="158"/>
      <c r="E4" s="159"/>
      <c r="F4" s="159"/>
      <c r="G4" s="159"/>
      <c r="H4" s="159"/>
      <c r="I4" s="159"/>
      <c r="J4" s="159"/>
      <c r="K4" s="159"/>
      <c r="L4" s="159"/>
      <c r="M4" s="159"/>
      <c r="N4" s="159"/>
      <c r="O4" s="159"/>
      <c r="P4" s="159"/>
      <c r="Q4" s="159"/>
      <c r="R4" s="159"/>
      <c r="S4" s="159"/>
      <c r="T4" s="160">
        <f>IFERROR(VLOOKUP(E4,'Medios humanos'!$B$3:$C$7,2,FALSE),0)</f>
        <v>0</v>
      </c>
      <c r="U4" s="160">
        <f>IFERROR(VLOOKUP(F4,'Medios humanos'!$B$10:$C$13,2,FALSE),0)</f>
        <v>0</v>
      </c>
      <c r="V4" s="160">
        <f>IFERROR(VLOOKUP(G4,'Medios humanos'!$B$16:$C$20,2,FALSE),0)</f>
        <v>0</v>
      </c>
      <c r="W4" s="160">
        <f>IFERROR(VLOOKUP(H4,'Medios humanos'!$B$23:$C$25,2,FALSE),0)</f>
        <v>0</v>
      </c>
      <c r="X4" s="160">
        <f>SUM(T4:W4)</f>
        <v>0</v>
      </c>
      <c r="Y4" s="160">
        <f>IF($I$2="",0,IFERROR(VLOOKUP(I4,'Medios humanos'!$B$28:$C$29,2,FALSE),0))</f>
        <v>0</v>
      </c>
      <c r="Z4" s="160">
        <f>IF($J$2="",0,IFERROR(VLOOKUP(J4,'Medios humanos'!$B$35:$C$39,2,FALSE),0))</f>
        <v>0</v>
      </c>
      <c r="AA4" s="160">
        <f>IF($K$2="",0,IFERROR(VLOOKUP(K4,'Medios humanos'!$B$42:$C$46,2,FALSE),0))</f>
        <v>0</v>
      </c>
      <c r="AB4" s="160">
        <f>SUM(Y4:AA4)</f>
        <v>0</v>
      </c>
      <c r="AC4" s="160">
        <f>IF($L$2="",0,IFERROR(VLOOKUP(L4,'Medios humanos'!$B$49:$C$53,2,FALSE)*'Resumen global'!$G$20,0))</f>
        <v>0</v>
      </c>
      <c r="AD4" s="160">
        <f>IF($L$2="",0,IFERROR(VLOOKUP(M4,'Medios humanos'!$B$56:$C$59,2,FALSE)*'Resumen global'!$G$20,0))</f>
        <v>0</v>
      </c>
      <c r="AE4" s="160">
        <f>IF($N$2="",0,IFERROR(VLOOKUP(N4,'Medios humanos'!$B$49:$C$53,2,FALSE)*'Resumen global'!$G$21,0))</f>
        <v>0</v>
      </c>
      <c r="AF4" s="160">
        <f>IF($N$2="",0,IFERROR(VLOOKUP(O4,'Medios humanos'!$B$56:$C$59,2,FALSE)*'Resumen global'!$G$21,0))</f>
        <v>0</v>
      </c>
      <c r="AG4" s="160">
        <f>IF($P$2="",0,IFERROR(VLOOKUP(P4,'Medios humanos'!$B$49:$C$53,2,FALSE)*'Resumen global'!$G$22,0))</f>
        <v>0</v>
      </c>
      <c r="AH4" s="160">
        <f>IF($P$2="",0,IFERROR(VLOOKUP(Q4,'Medios humanos'!$B$56:$C$59,2,FALSE)*'Resumen global'!$G$22,0))</f>
        <v>0</v>
      </c>
      <c r="AI4" s="160">
        <f>IF($R$2="",0,IFERROR(VLOOKUP(R4,'Medios humanos'!$B$49:$C$53,2,FALSE)*'Resumen global'!$G$23,0))</f>
        <v>0</v>
      </c>
      <c r="AJ4" s="160">
        <f>IF($R$2="",0,IFERROR(VLOOKUP(S4,'Medios humanos'!$B$56:$C$59,2,FALSE)*'Resumen global'!$G$23,0))</f>
        <v>0</v>
      </c>
      <c r="AK4" s="160">
        <f>SUM(AC4:AJ4)</f>
        <v>0</v>
      </c>
      <c r="AL4" s="161">
        <f>IFERROR((X4*'Resumen global'!$K$20+AB4*'Resumen global'!$K$21+AK4*'Resumen global'!$K$22)*10/5,0)</f>
        <v>0</v>
      </c>
      <c r="AM4" s="161">
        <f t="shared" ref="AM4:AM24" si="0">+C4*D4</f>
        <v>0</v>
      </c>
      <c r="AN4" s="161">
        <f>+AL4*AM4</f>
        <v>0</v>
      </c>
    </row>
    <row r="5" spans="1:40" ht="16.5" hidden="1" customHeight="1" x14ac:dyDescent="0.3">
      <c r="A5" s="40"/>
      <c r="B5" s="40"/>
      <c r="C5" s="57">
        <f>IFERROR(VLOOKUP(B5,'Resumen global'!$E$33:$F$39,2,FALSE),0)</f>
        <v>0</v>
      </c>
      <c r="D5" s="158"/>
      <c r="E5" s="159"/>
      <c r="F5" s="159"/>
      <c r="G5" s="159"/>
      <c r="H5" s="159"/>
      <c r="I5" s="159"/>
      <c r="J5" s="159"/>
      <c r="K5" s="159"/>
      <c r="L5" s="159"/>
      <c r="M5" s="159"/>
      <c r="N5" s="159"/>
      <c r="O5" s="159"/>
      <c r="P5" s="159"/>
      <c r="Q5" s="159"/>
      <c r="R5" s="159"/>
      <c r="S5" s="159"/>
      <c r="T5" s="161">
        <f>IFERROR(VLOOKUP(E5,'Medios humanos'!$B$3:$C$7,2,FALSE),0)</f>
        <v>0</v>
      </c>
      <c r="U5" s="161">
        <f>IFERROR(VLOOKUP(F5,'Medios humanos'!$B$10:$C$13,2,FALSE),0)</f>
        <v>0</v>
      </c>
      <c r="V5" s="161">
        <f>IFERROR(VLOOKUP(G5,'Medios humanos'!$B$16:$C$20,2,FALSE),0)</f>
        <v>0</v>
      </c>
      <c r="W5" s="161">
        <f>IFERROR(VLOOKUP(H5,'Medios humanos'!$B$23:$C$25,2,FALSE),0)</f>
        <v>0</v>
      </c>
      <c r="X5" s="160">
        <f t="shared" ref="X5:X24" si="1">SUM(T5:W5)</f>
        <v>0</v>
      </c>
      <c r="Y5" s="160">
        <f>IF($I$2="",0,IFERROR(VLOOKUP(I5,'Medios humanos'!$B$28:$C$29,2,FALSE),0))</f>
        <v>0</v>
      </c>
      <c r="Z5" s="160">
        <f>IF($J$2="",0,IFERROR(VLOOKUP(J5,'Medios humanos'!$B$35:$C$39,2,FALSE),0))</f>
        <v>0</v>
      </c>
      <c r="AA5" s="160">
        <f>IF($K$2="",0,IFERROR(VLOOKUP(K5,'Medios humanos'!$B$42:$C$46,2,FALSE),0))</f>
        <v>0</v>
      </c>
      <c r="AB5" s="160">
        <f t="shared" ref="AB5:AB24" si="2">SUM(Y5:AA5)</f>
        <v>0</v>
      </c>
      <c r="AC5" s="161">
        <f>IF($L$2="",0,IFERROR(VLOOKUP(L5,'Medios humanos'!$B$49:$C$53,2,FALSE)*'Resumen global'!$G$20,0))</f>
        <v>0</v>
      </c>
      <c r="AD5" s="161">
        <f>IF($L$2="",0,IFERROR(VLOOKUP(M5,'Medios humanos'!$B$56:$C$59,2,FALSE)*'Resumen global'!$G$20,0))</f>
        <v>0</v>
      </c>
      <c r="AE5" s="161">
        <f>IF($N$2="",0,IFERROR(VLOOKUP(N5,'Medios humanos'!$B$49:$C$53,2,FALSE)*'Resumen global'!$G$21,0))</f>
        <v>0</v>
      </c>
      <c r="AF5" s="161">
        <f>IF($N$2="",0,IFERROR(VLOOKUP(O5,'Medios humanos'!$B$56:$C$59,2,FALSE)*'Resumen global'!$G$21,0))</f>
        <v>0</v>
      </c>
      <c r="AG5" s="161">
        <f>IF($P$2="",0,IFERROR(VLOOKUP(P5,'Medios humanos'!$B$49:$C$53,2,FALSE)*'Resumen global'!$G$22,0))</f>
        <v>0</v>
      </c>
      <c r="AH5" s="161">
        <f>IF($P$2="",0,IFERROR(VLOOKUP(Q5,'Medios humanos'!$B$56:$C$59,2,FALSE)*'Resumen global'!$G$22,0))</f>
        <v>0</v>
      </c>
      <c r="AI5" s="161">
        <f>IF($R$2="",0,IFERROR(VLOOKUP(R5,'Medios humanos'!$B$49:$C$53,2,FALSE)*'Resumen global'!$G$23,0))</f>
        <v>0</v>
      </c>
      <c r="AJ5" s="161">
        <f>IF($R$2="",0,IFERROR(VLOOKUP(S5,'Medios humanos'!$B$56:$C$59,2,FALSE)*'Resumen global'!$G$23,0))</f>
        <v>0</v>
      </c>
      <c r="AK5" s="160">
        <f t="shared" ref="AK5:AK24" si="3">SUM(AC5:AJ5)</f>
        <v>0</v>
      </c>
      <c r="AL5" s="161">
        <f>IFERROR((X5*'Resumen global'!$K$20+AB5*'Resumen global'!$K$21+AK5*'Resumen global'!$K$22)*10/5,0)</f>
        <v>0</v>
      </c>
      <c r="AM5" s="161">
        <f t="shared" si="0"/>
        <v>0</v>
      </c>
      <c r="AN5" s="161">
        <f t="shared" ref="AN5:AN24" si="4">+AL5*AM5</f>
        <v>0</v>
      </c>
    </row>
    <row r="6" spans="1:40" ht="14.4" hidden="1" x14ac:dyDescent="0.3">
      <c r="A6" s="40"/>
      <c r="B6" s="40"/>
      <c r="C6" s="57">
        <f>IFERROR(VLOOKUP(B6,'Resumen global'!$E$33:$F$39,2,FALSE),0)</f>
        <v>0</v>
      </c>
      <c r="D6" s="158"/>
      <c r="E6" s="159"/>
      <c r="F6" s="159"/>
      <c r="G6" s="159"/>
      <c r="H6" s="159"/>
      <c r="I6" s="159"/>
      <c r="J6" s="159"/>
      <c r="K6" s="159"/>
      <c r="L6" s="159"/>
      <c r="M6" s="159"/>
      <c r="N6" s="159"/>
      <c r="O6" s="159"/>
      <c r="P6" s="159"/>
      <c r="Q6" s="159"/>
      <c r="R6" s="159"/>
      <c r="S6" s="159"/>
      <c r="T6" s="161">
        <f>IFERROR(VLOOKUP(E6,'Medios humanos'!$B$3:$C$7,2,FALSE),0)</f>
        <v>0</v>
      </c>
      <c r="U6" s="161">
        <f>IFERROR(VLOOKUP(F6,'Medios humanos'!$B$10:$C$13,2,FALSE),0)</f>
        <v>0</v>
      </c>
      <c r="V6" s="161">
        <f>IFERROR(VLOOKUP(G6,'Medios humanos'!$B$16:$C$20,2,FALSE),0)</f>
        <v>0</v>
      </c>
      <c r="W6" s="161">
        <f>IFERROR(VLOOKUP(H6,'Medios humanos'!$B$23:$C$25,2,FALSE),0)</f>
        <v>0</v>
      </c>
      <c r="X6" s="160">
        <f t="shared" si="1"/>
        <v>0</v>
      </c>
      <c r="Y6" s="160">
        <f>IF($I$2="",0,IFERROR(VLOOKUP(I6,'Medios humanos'!$B$28:$C$29,2,FALSE),0))</f>
        <v>0</v>
      </c>
      <c r="Z6" s="160">
        <f>IF($J$2="",0,IFERROR(VLOOKUP(J6,'Medios humanos'!$B$35:$C$39,2,FALSE),0))</f>
        <v>0</v>
      </c>
      <c r="AA6" s="160">
        <f>IF($K$2="",0,IFERROR(VLOOKUP(K6,'Medios humanos'!$B$42:$C$46,2,FALSE),0))</f>
        <v>0</v>
      </c>
      <c r="AB6" s="160">
        <f t="shared" si="2"/>
        <v>0</v>
      </c>
      <c r="AC6" s="161">
        <f>IF($L$2="",0,IFERROR(VLOOKUP(L6,'Medios humanos'!$B$49:$C$53,2,FALSE)*'Resumen global'!$G$20,0))</f>
        <v>0</v>
      </c>
      <c r="AD6" s="161">
        <f>IF($L$2="",0,IFERROR(VLOOKUP(M6,'Medios humanos'!$B$56:$C$59,2,FALSE)*'Resumen global'!$G$20,0))</f>
        <v>0</v>
      </c>
      <c r="AE6" s="161">
        <f>IF($N$2="",0,IFERROR(VLOOKUP(N6,'Medios humanos'!$B$49:$C$53,2,FALSE)*'Resumen global'!$G$21,0))</f>
        <v>0</v>
      </c>
      <c r="AF6" s="161">
        <f>IF($N$2="",0,IFERROR(VLOOKUP(O6,'Medios humanos'!$B$56:$C$59,2,FALSE)*'Resumen global'!$G$21,0))</f>
        <v>0</v>
      </c>
      <c r="AG6" s="161">
        <f>IF($P$2="",0,IFERROR(VLOOKUP(P6,'Medios humanos'!$B$49:$C$53,2,FALSE)*'Resumen global'!$G$22,0))</f>
        <v>0</v>
      </c>
      <c r="AH6" s="161">
        <f>IF($P$2="",0,IFERROR(VLOOKUP(Q6,'Medios humanos'!$B$56:$C$59,2,FALSE)*'Resumen global'!$G$22,0))</f>
        <v>0</v>
      </c>
      <c r="AI6" s="161">
        <f>IF($R$2="",0,IFERROR(VLOOKUP(R6,'Medios humanos'!$B$49:$C$53,2,FALSE)*'Resumen global'!$G$23,0))</f>
        <v>0</v>
      </c>
      <c r="AJ6" s="161">
        <f>IF($R$2="",0,IFERROR(VLOOKUP(S6,'Medios humanos'!$B$56:$C$59,2,FALSE)*'Resumen global'!$G$23,0))</f>
        <v>0</v>
      </c>
      <c r="AK6" s="160">
        <f t="shared" si="3"/>
        <v>0</v>
      </c>
      <c r="AL6" s="161">
        <f>IFERROR((X6*'Resumen global'!$K$20+AB6*'Resumen global'!$K$21+AK6*'Resumen global'!$K$22)*10/5,0)</f>
        <v>0</v>
      </c>
      <c r="AM6" s="161">
        <f t="shared" si="0"/>
        <v>0</v>
      </c>
      <c r="AN6" s="161">
        <f t="shared" si="4"/>
        <v>0</v>
      </c>
    </row>
    <row r="7" spans="1:40" ht="14.4" hidden="1" x14ac:dyDescent="0.3">
      <c r="A7" s="40"/>
      <c r="B7" s="40"/>
      <c r="C7" s="57">
        <f>IFERROR(VLOOKUP(B7,'Resumen global'!$E$33:$F$39,2,FALSE),0)</f>
        <v>0</v>
      </c>
      <c r="D7" s="158"/>
      <c r="E7" s="159"/>
      <c r="F7" s="159"/>
      <c r="G7" s="159"/>
      <c r="H7" s="159"/>
      <c r="I7" s="159"/>
      <c r="J7" s="159"/>
      <c r="K7" s="159"/>
      <c r="L7" s="159"/>
      <c r="M7" s="159"/>
      <c r="N7" s="159"/>
      <c r="O7" s="159"/>
      <c r="P7" s="159"/>
      <c r="Q7" s="159"/>
      <c r="R7" s="159"/>
      <c r="S7" s="159"/>
      <c r="T7" s="161">
        <f>IFERROR(VLOOKUP(E7,'Medios humanos'!$B$3:$C$7,2,FALSE),0)</f>
        <v>0</v>
      </c>
      <c r="U7" s="161">
        <f>IFERROR(VLOOKUP(F7,'Medios humanos'!$B$10:$C$13,2,FALSE),0)</f>
        <v>0</v>
      </c>
      <c r="V7" s="161">
        <f>IFERROR(VLOOKUP(G7,'Medios humanos'!$B$16:$C$20,2,FALSE),0)</f>
        <v>0</v>
      </c>
      <c r="W7" s="161">
        <f>IFERROR(VLOOKUP(H7,'Medios humanos'!$B$23:$C$25,2,FALSE),0)</f>
        <v>0</v>
      </c>
      <c r="X7" s="160">
        <f t="shared" si="1"/>
        <v>0</v>
      </c>
      <c r="Y7" s="160">
        <f>IF($I$2="",0,IFERROR(VLOOKUP(I7,'Medios humanos'!$B$28:$C$29,2,FALSE),0))</f>
        <v>0</v>
      </c>
      <c r="Z7" s="160">
        <f>IF($J$2="",0,IFERROR(VLOOKUP(J7,'Medios humanos'!$B$35:$C$39,2,FALSE),0))</f>
        <v>0</v>
      </c>
      <c r="AA7" s="160">
        <f>IF($K$2="",0,IFERROR(VLOOKUP(K7,'Medios humanos'!$B$42:$C$46,2,FALSE),0))</f>
        <v>0</v>
      </c>
      <c r="AB7" s="160">
        <f t="shared" si="2"/>
        <v>0</v>
      </c>
      <c r="AC7" s="161">
        <f>IF($L$2="",0,IFERROR(VLOOKUP(L7,'Medios humanos'!$B$49:$C$53,2,FALSE)*'Resumen global'!$G$20,0))</f>
        <v>0</v>
      </c>
      <c r="AD7" s="161">
        <f>IF($L$2="",0,IFERROR(VLOOKUP(M7,'Medios humanos'!$B$56:$C$59,2,FALSE)*'Resumen global'!$G$20,0))</f>
        <v>0</v>
      </c>
      <c r="AE7" s="161">
        <f>IF($N$2="",0,IFERROR(VLOOKUP(N7,'Medios humanos'!$B$49:$C$53,2,FALSE)*'Resumen global'!$G$21,0))</f>
        <v>0</v>
      </c>
      <c r="AF7" s="161">
        <f>IF($N$2="",0,IFERROR(VLOOKUP(O7,'Medios humanos'!$B$56:$C$59,2,FALSE)*'Resumen global'!$G$21,0))</f>
        <v>0</v>
      </c>
      <c r="AG7" s="161">
        <f>IF($P$2="",0,IFERROR(VLOOKUP(P7,'Medios humanos'!$B$49:$C$53,2,FALSE)*'Resumen global'!$G$22,0))</f>
        <v>0</v>
      </c>
      <c r="AH7" s="161">
        <f>IF($P$2="",0,IFERROR(VLOOKUP(Q7,'Medios humanos'!$B$56:$C$59,2,FALSE)*'Resumen global'!$G$22,0))</f>
        <v>0</v>
      </c>
      <c r="AI7" s="161">
        <f>IF($R$2="",0,IFERROR(VLOOKUP(R7,'Medios humanos'!$B$49:$C$53,2,FALSE)*'Resumen global'!$G$23,0))</f>
        <v>0</v>
      </c>
      <c r="AJ7" s="161">
        <f>IF($R$2="",0,IFERROR(VLOOKUP(S7,'Medios humanos'!$B$56:$C$59,2,FALSE)*'Resumen global'!$G$23,0))</f>
        <v>0</v>
      </c>
      <c r="AK7" s="160">
        <f t="shared" si="3"/>
        <v>0</v>
      </c>
      <c r="AL7" s="161">
        <f>IFERROR((X7*'Resumen global'!$K$20+AB7*'Resumen global'!$K$21+AK7*'Resumen global'!$K$22)*10/5,0)</f>
        <v>0</v>
      </c>
      <c r="AM7" s="161">
        <f t="shared" si="0"/>
        <v>0</v>
      </c>
      <c r="AN7" s="161">
        <f t="shared" si="4"/>
        <v>0</v>
      </c>
    </row>
    <row r="8" spans="1:40" ht="14.4" hidden="1" x14ac:dyDescent="0.3">
      <c r="A8" s="40"/>
      <c r="B8" s="40"/>
      <c r="C8" s="57">
        <f>IFERROR(VLOOKUP(B8,'Resumen global'!$E$33:$F$39,2,FALSE),0)</f>
        <v>0</v>
      </c>
      <c r="D8" s="158"/>
      <c r="E8" s="159"/>
      <c r="F8" s="159"/>
      <c r="G8" s="159"/>
      <c r="H8" s="159"/>
      <c r="I8" s="159"/>
      <c r="J8" s="159"/>
      <c r="K8" s="159"/>
      <c r="L8" s="159"/>
      <c r="M8" s="159"/>
      <c r="N8" s="159"/>
      <c r="O8" s="159"/>
      <c r="P8" s="159"/>
      <c r="Q8" s="159"/>
      <c r="R8" s="159"/>
      <c r="S8" s="159"/>
      <c r="T8" s="161">
        <f>IFERROR(VLOOKUP(E8,'Medios humanos'!$B$3:$C$7,2,FALSE),0)</f>
        <v>0</v>
      </c>
      <c r="U8" s="161">
        <f>IFERROR(VLOOKUP(F8,'Medios humanos'!$B$10:$C$13,2,FALSE),0)</f>
        <v>0</v>
      </c>
      <c r="V8" s="161">
        <f>IFERROR(VLOOKUP(G8,'Medios humanos'!$B$16:$C$20,2,FALSE),0)</f>
        <v>0</v>
      </c>
      <c r="W8" s="161">
        <f>IFERROR(VLOOKUP(H8,'Medios humanos'!$B$23:$C$25,2,FALSE),0)</f>
        <v>0</v>
      </c>
      <c r="X8" s="160">
        <f t="shared" si="1"/>
        <v>0</v>
      </c>
      <c r="Y8" s="160">
        <f>IF($I$2="",0,IFERROR(VLOOKUP(I8,'Medios humanos'!$B$28:$C$29,2,FALSE),0))</f>
        <v>0</v>
      </c>
      <c r="Z8" s="160">
        <f>IF($J$2="",0,IFERROR(VLOOKUP(J8,'Medios humanos'!$B$35:$C$39,2,FALSE),0))</f>
        <v>0</v>
      </c>
      <c r="AA8" s="160">
        <f>IF($K$2="",0,IFERROR(VLOOKUP(K8,'Medios humanos'!$B$42:$C$46,2,FALSE),0))</f>
        <v>0</v>
      </c>
      <c r="AB8" s="160">
        <f t="shared" si="2"/>
        <v>0</v>
      </c>
      <c r="AC8" s="161">
        <f>IF($L$2="",0,IFERROR(VLOOKUP(L8,'Medios humanos'!$B$49:$C$53,2,FALSE)*'Resumen global'!$G$20,0))</f>
        <v>0</v>
      </c>
      <c r="AD8" s="161">
        <f>IF($L$2="",0,IFERROR(VLOOKUP(M8,'Medios humanos'!$B$56:$C$59,2,FALSE)*'Resumen global'!$G$20,0))</f>
        <v>0</v>
      </c>
      <c r="AE8" s="161">
        <f>IF($N$2="",0,IFERROR(VLOOKUP(N8,'Medios humanos'!$B$49:$C$53,2,FALSE)*'Resumen global'!$G$21,0))</f>
        <v>0</v>
      </c>
      <c r="AF8" s="161">
        <f>IF($N$2="",0,IFERROR(VLOOKUP(O8,'Medios humanos'!$B$56:$C$59,2,FALSE)*'Resumen global'!$G$21,0))</f>
        <v>0</v>
      </c>
      <c r="AG8" s="161">
        <f>IF($P$2="",0,IFERROR(VLOOKUP(P8,'Medios humanos'!$B$49:$C$53,2,FALSE)*'Resumen global'!$G$22,0))</f>
        <v>0</v>
      </c>
      <c r="AH8" s="161">
        <f>IF($P$2="",0,IFERROR(VLOOKUP(Q8,'Medios humanos'!$B$56:$C$59,2,FALSE)*'Resumen global'!$G$22,0))</f>
        <v>0</v>
      </c>
      <c r="AI8" s="161">
        <f>IF($R$2="",0,IFERROR(VLOOKUP(R8,'Medios humanos'!$B$49:$C$53,2,FALSE)*'Resumen global'!$G$23,0))</f>
        <v>0</v>
      </c>
      <c r="AJ8" s="161">
        <f>IF($R$2="",0,IFERROR(VLOOKUP(S8,'Medios humanos'!$B$56:$C$59,2,FALSE)*'Resumen global'!$G$23,0))</f>
        <v>0</v>
      </c>
      <c r="AK8" s="160">
        <f t="shared" si="3"/>
        <v>0</v>
      </c>
      <c r="AL8" s="161">
        <f>IFERROR((X8*'Resumen global'!$K$20+AB8*'Resumen global'!$K$21+AK8*'Resumen global'!$K$22)*10/5,0)</f>
        <v>0</v>
      </c>
      <c r="AM8" s="161">
        <f t="shared" si="0"/>
        <v>0</v>
      </c>
      <c r="AN8" s="161">
        <f t="shared" si="4"/>
        <v>0</v>
      </c>
    </row>
    <row r="9" spans="1:40" ht="14.4" hidden="1" x14ac:dyDescent="0.3">
      <c r="A9" s="40"/>
      <c r="B9" s="40"/>
      <c r="C9" s="57">
        <f>IFERROR(VLOOKUP(B9,'Resumen global'!$E$33:$F$39,2,FALSE),0)</f>
        <v>0</v>
      </c>
      <c r="D9" s="158"/>
      <c r="E9" s="159"/>
      <c r="F9" s="159"/>
      <c r="G9" s="159"/>
      <c r="H9" s="159"/>
      <c r="I9" s="159"/>
      <c r="J9" s="159"/>
      <c r="K9" s="159"/>
      <c r="L9" s="159"/>
      <c r="M9" s="159"/>
      <c r="N9" s="159"/>
      <c r="O9" s="159"/>
      <c r="P9" s="159"/>
      <c r="Q9" s="159"/>
      <c r="R9" s="159"/>
      <c r="S9" s="159"/>
      <c r="T9" s="161">
        <f>IFERROR(VLOOKUP(E9,'Medios humanos'!$B$3:$C$7,2,FALSE),0)</f>
        <v>0</v>
      </c>
      <c r="U9" s="161">
        <f>IFERROR(VLOOKUP(F9,'Medios humanos'!$B$10:$C$13,2,FALSE),0)</f>
        <v>0</v>
      </c>
      <c r="V9" s="161">
        <f>IFERROR(VLOOKUP(G9,'Medios humanos'!$B$16:$C$20,2,FALSE),0)</f>
        <v>0</v>
      </c>
      <c r="W9" s="161">
        <f>IFERROR(VLOOKUP(H9,'Medios humanos'!$B$23:$C$25,2,FALSE),0)</f>
        <v>0</v>
      </c>
      <c r="X9" s="160">
        <f t="shared" si="1"/>
        <v>0</v>
      </c>
      <c r="Y9" s="160">
        <f>IF($I$2="",0,IFERROR(VLOOKUP(I9,'Medios humanos'!$B$28:$C$29,2,FALSE),0))</f>
        <v>0</v>
      </c>
      <c r="Z9" s="160">
        <f>IF($J$2="",0,IFERROR(VLOOKUP(J9,'Medios humanos'!$B$35:$C$39,2,FALSE),0))</f>
        <v>0</v>
      </c>
      <c r="AA9" s="160">
        <f>IF($K$2="",0,IFERROR(VLOOKUP(K9,'Medios humanos'!$B$42:$C$46,2,FALSE),0))</f>
        <v>0</v>
      </c>
      <c r="AB9" s="160">
        <f t="shared" si="2"/>
        <v>0</v>
      </c>
      <c r="AC9" s="161">
        <f>IF($L$2="",0,IFERROR(VLOOKUP(L9,'Medios humanos'!$B$49:$C$53,2,FALSE)*'Resumen global'!$G$20,0))</f>
        <v>0</v>
      </c>
      <c r="AD9" s="161">
        <f>IF($L$2="",0,IFERROR(VLOOKUP(M9,'Medios humanos'!$B$56:$C$59,2,FALSE)*'Resumen global'!$G$20,0))</f>
        <v>0</v>
      </c>
      <c r="AE9" s="161">
        <f>IF($N$2="",0,IFERROR(VLOOKUP(N9,'Medios humanos'!$B$49:$C$53,2,FALSE)*'Resumen global'!$G$21,0))</f>
        <v>0</v>
      </c>
      <c r="AF9" s="161">
        <f>IF($N$2="",0,IFERROR(VLOOKUP(O9,'Medios humanos'!$B$56:$C$59,2,FALSE)*'Resumen global'!$G$21,0))</f>
        <v>0</v>
      </c>
      <c r="AG9" s="161">
        <f>IF($P$2="",0,IFERROR(VLOOKUP(P9,'Medios humanos'!$B$49:$C$53,2,FALSE)*'Resumen global'!$G$22,0))</f>
        <v>0</v>
      </c>
      <c r="AH9" s="161">
        <f>IF($P$2="",0,IFERROR(VLOOKUP(Q9,'Medios humanos'!$B$56:$C$59,2,FALSE)*'Resumen global'!$G$22,0))</f>
        <v>0</v>
      </c>
      <c r="AI9" s="161">
        <f>IF($R$2="",0,IFERROR(VLOOKUP(R9,'Medios humanos'!$B$49:$C$53,2,FALSE)*'Resumen global'!$G$23,0))</f>
        <v>0</v>
      </c>
      <c r="AJ9" s="161">
        <f>IF($R$2="",0,IFERROR(VLOOKUP(S9,'Medios humanos'!$B$56:$C$59,2,FALSE)*'Resumen global'!$G$23,0))</f>
        <v>0</v>
      </c>
      <c r="AK9" s="160">
        <f t="shared" si="3"/>
        <v>0</v>
      </c>
      <c r="AL9" s="161">
        <f>IFERROR((X9*'Resumen global'!$K$20+AB9*'Resumen global'!$K$21+AK9*'Resumen global'!$K$22)*10/5,0)</f>
        <v>0</v>
      </c>
      <c r="AM9" s="161">
        <f t="shared" si="0"/>
        <v>0</v>
      </c>
      <c r="AN9" s="161">
        <f t="shared" si="4"/>
        <v>0</v>
      </c>
    </row>
    <row r="10" spans="1:40" ht="14.4" hidden="1" x14ac:dyDescent="0.3">
      <c r="A10" s="40"/>
      <c r="B10" s="40"/>
      <c r="C10" s="57">
        <f>IFERROR(VLOOKUP(B10,'Resumen global'!$E$33:$F$39,2,FALSE),0)</f>
        <v>0</v>
      </c>
      <c r="D10" s="158"/>
      <c r="E10" s="159"/>
      <c r="F10" s="159"/>
      <c r="G10" s="159"/>
      <c r="H10" s="159"/>
      <c r="I10" s="159"/>
      <c r="J10" s="159"/>
      <c r="K10" s="159"/>
      <c r="L10" s="159"/>
      <c r="M10" s="159"/>
      <c r="N10" s="159"/>
      <c r="O10" s="159"/>
      <c r="P10" s="159"/>
      <c r="Q10" s="159"/>
      <c r="R10" s="159"/>
      <c r="S10" s="159"/>
      <c r="T10" s="161">
        <f>IFERROR(VLOOKUP(E10,'Medios humanos'!$B$3:$C$7,2,FALSE),0)</f>
        <v>0</v>
      </c>
      <c r="U10" s="161">
        <f>IFERROR(VLOOKUP(F10,'Medios humanos'!$B$10:$C$13,2,FALSE),0)</f>
        <v>0</v>
      </c>
      <c r="V10" s="161">
        <f>IFERROR(VLOOKUP(G10,'Medios humanos'!$B$16:$C$20,2,FALSE),0)</f>
        <v>0</v>
      </c>
      <c r="W10" s="161">
        <f>IFERROR(VLOOKUP(H10,'Medios humanos'!$B$23:$C$25,2,FALSE),0)</f>
        <v>0</v>
      </c>
      <c r="X10" s="160">
        <f t="shared" si="1"/>
        <v>0</v>
      </c>
      <c r="Y10" s="160">
        <f>IF($I$2="",0,IFERROR(VLOOKUP(I10,'Medios humanos'!$B$28:$C$29,2,FALSE),0))</f>
        <v>0</v>
      </c>
      <c r="Z10" s="160">
        <f>IF($J$2="",0,IFERROR(VLOOKUP(J10,'Medios humanos'!$B$35:$C$39,2,FALSE),0))</f>
        <v>0</v>
      </c>
      <c r="AA10" s="160">
        <f>IF($K$2="",0,IFERROR(VLOOKUP(K10,'Medios humanos'!$B$42:$C$46,2,FALSE),0))</f>
        <v>0</v>
      </c>
      <c r="AB10" s="160">
        <f t="shared" si="2"/>
        <v>0</v>
      </c>
      <c r="AC10" s="161">
        <f>IF($L$2="",0,IFERROR(VLOOKUP(L10,'Medios humanos'!$B$49:$C$53,2,FALSE)*'Resumen global'!$G$20,0))</f>
        <v>0</v>
      </c>
      <c r="AD10" s="161">
        <f>IF($L$2="",0,IFERROR(VLOOKUP(M10,'Medios humanos'!$B$56:$C$59,2,FALSE)*'Resumen global'!$G$20,0))</f>
        <v>0</v>
      </c>
      <c r="AE10" s="161">
        <f>IF($N$2="",0,IFERROR(VLOOKUP(N10,'Medios humanos'!$B$49:$C$53,2,FALSE)*'Resumen global'!$G$21,0))</f>
        <v>0</v>
      </c>
      <c r="AF10" s="161">
        <f>IF($N$2="",0,IFERROR(VLOOKUP(O10,'Medios humanos'!$B$56:$C$59,2,FALSE)*'Resumen global'!$G$21,0))</f>
        <v>0</v>
      </c>
      <c r="AG10" s="161">
        <f>IF($P$2="",0,IFERROR(VLOOKUP(P10,'Medios humanos'!$B$49:$C$53,2,FALSE)*'Resumen global'!$G$22,0))</f>
        <v>0</v>
      </c>
      <c r="AH10" s="161">
        <f>IF($P$2="",0,IFERROR(VLOOKUP(Q10,'Medios humanos'!$B$56:$C$59,2,FALSE)*'Resumen global'!$G$22,0))</f>
        <v>0</v>
      </c>
      <c r="AI10" s="161">
        <f>IF($R$2="",0,IFERROR(VLOOKUP(R10,'Medios humanos'!$B$49:$C$53,2,FALSE)*'Resumen global'!$G$23,0))</f>
        <v>0</v>
      </c>
      <c r="AJ10" s="161">
        <f>IF($R$2="",0,IFERROR(VLOOKUP(S10,'Medios humanos'!$B$56:$C$59,2,FALSE)*'Resumen global'!$G$23,0))</f>
        <v>0</v>
      </c>
      <c r="AK10" s="160">
        <f t="shared" si="3"/>
        <v>0</v>
      </c>
      <c r="AL10" s="161">
        <f>IFERROR((X10*'Resumen global'!$K$20+AB10*'Resumen global'!$K$21+AK10*'Resumen global'!$K$22)*10/5,0)</f>
        <v>0</v>
      </c>
      <c r="AM10" s="161">
        <f t="shared" si="0"/>
        <v>0</v>
      </c>
      <c r="AN10" s="161">
        <f t="shared" si="4"/>
        <v>0</v>
      </c>
    </row>
    <row r="11" spans="1:40" ht="14.4" hidden="1" x14ac:dyDescent="0.3">
      <c r="A11" s="40"/>
      <c r="B11" s="40"/>
      <c r="C11" s="57">
        <f>IFERROR(VLOOKUP(B11,'Resumen global'!$E$33:$F$39,2,FALSE),0)</f>
        <v>0</v>
      </c>
      <c r="D11" s="158"/>
      <c r="E11" s="159"/>
      <c r="F11" s="159"/>
      <c r="G11" s="159"/>
      <c r="H11" s="159"/>
      <c r="I11" s="159"/>
      <c r="J11" s="159"/>
      <c r="K11" s="159"/>
      <c r="L11" s="159"/>
      <c r="M11" s="159"/>
      <c r="N11" s="159"/>
      <c r="O11" s="159"/>
      <c r="P11" s="159"/>
      <c r="Q11" s="159"/>
      <c r="R11" s="159"/>
      <c r="S11" s="159"/>
      <c r="T11" s="161">
        <f>IFERROR(VLOOKUP(E11,'Medios humanos'!$B$3:$C$7,2,FALSE),0)</f>
        <v>0</v>
      </c>
      <c r="U11" s="161">
        <f>IFERROR(VLOOKUP(F11,'Medios humanos'!$B$10:$C$13,2,FALSE),0)</f>
        <v>0</v>
      </c>
      <c r="V11" s="161">
        <f>IFERROR(VLOOKUP(G11,'Medios humanos'!$B$16:$C$20,2,FALSE),0)</f>
        <v>0</v>
      </c>
      <c r="W11" s="161">
        <f>IFERROR(VLOOKUP(H11,'Medios humanos'!$B$23:$C$25,2,FALSE),0)</f>
        <v>0</v>
      </c>
      <c r="X11" s="160">
        <f t="shared" si="1"/>
        <v>0</v>
      </c>
      <c r="Y11" s="160">
        <f>IF($I$2="",0,IFERROR(VLOOKUP(I11,'Medios humanos'!$B$28:$C$29,2,FALSE),0))</f>
        <v>0</v>
      </c>
      <c r="Z11" s="160">
        <f>IF($J$2="",0,IFERROR(VLOOKUP(J11,'Medios humanos'!$B$35:$C$39,2,FALSE),0))</f>
        <v>0</v>
      </c>
      <c r="AA11" s="160">
        <f>IF($K$2="",0,IFERROR(VLOOKUP(K11,'Medios humanos'!$B$42:$C$46,2,FALSE),0))</f>
        <v>0</v>
      </c>
      <c r="AB11" s="160">
        <f t="shared" si="2"/>
        <v>0</v>
      </c>
      <c r="AC11" s="161">
        <f>IF($L$2="",0,IFERROR(VLOOKUP(L11,'Medios humanos'!$B$49:$C$53,2,FALSE)*'Resumen global'!$G$20,0))</f>
        <v>0</v>
      </c>
      <c r="AD11" s="161">
        <f>IF($L$2="",0,IFERROR(VLOOKUP(M11,'Medios humanos'!$B$56:$C$59,2,FALSE)*'Resumen global'!$G$20,0))</f>
        <v>0</v>
      </c>
      <c r="AE11" s="161">
        <f>IF($N$2="",0,IFERROR(VLOOKUP(N11,'Medios humanos'!$B$49:$C$53,2,FALSE)*'Resumen global'!$G$21,0))</f>
        <v>0</v>
      </c>
      <c r="AF11" s="161">
        <f>IF($N$2="",0,IFERROR(VLOOKUP(O11,'Medios humanos'!$B$56:$C$59,2,FALSE)*'Resumen global'!$G$21,0))</f>
        <v>0</v>
      </c>
      <c r="AG11" s="161">
        <f>IF($P$2="",0,IFERROR(VLOOKUP(P11,'Medios humanos'!$B$49:$C$53,2,FALSE)*'Resumen global'!$G$22,0))</f>
        <v>0</v>
      </c>
      <c r="AH11" s="161">
        <f>IF($P$2="",0,IFERROR(VLOOKUP(Q11,'Medios humanos'!$B$56:$C$59,2,FALSE)*'Resumen global'!$G$22,0))</f>
        <v>0</v>
      </c>
      <c r="AI11" s="161">
        <f>IF($R$2="",0,IFERROR(VLOOKUP(R11,'Medios humanos'!$B$49:$C$53,2,FALSE)*'Resumen global'!$G$23,0))</f>
        <v>0</v>
      </c>
      <c r="AJ11" s="161">
        <f>IF($R$2="",0,IFERROR(VLOOKUP(S11,'Medios humanos'!$B$56:$C$59,2,FALSE)*'Resumen global'!$G$23,0))</f>
        <v>0</v>
      </c>
      <c r="AK11" s="160">
        <f t="shared" si="3"/>
        <v>0</v>
      </c>
      <c r="AL11" s="161">
        <f>IFERROR((X11*'Resumen global'!$K$20+AB11*'Resumen global'!$K$21+AK11*'Resumen global'!$K$22)*10/5,0)</f>
        <v>0</v>
      </c>
      <c r="AM11" s="161">
        <f t="shared" si="0"/>
        <v>0</v>
      </c>
      <c r="AN11" s="161">
        <f t="shared" si="4"/>
        <v>0</v>
      </c>
    </row>
    <row r="12" spans="1:40" ht="14.4" hidden="1" x14ac:dyDescent="0.3">
      <c r="A12" s="40"/>
      <c r="B12" s="40"/>
      <c r="C12" s="57">
        <f>IFERROR(VLOOKUP(B12,'Resumen global'!$E$33:$F$39,2,FALSE),0)</f>
        <v>0</v>
      </c>
      <c r="D12" s="158"/>
      <c r="E12" s="159"/>
      <c r="F12" s="159"/>
      <c r="G12" s="159"/>
      <c r="H12" s="159"/>
      <c r="I12" s="159"/>
      <c r="J12" s="159"/>
      <c r="K12" s="159"/>
      <c r="L12" s="159"/>
      <c r="M12" s="159"/>
      <c r="N12" s="159"/>
      <c r="O12" s="159"/>
      <c r="P12" s="159"/>
      <c r="Q12" s="159"/>
      <c r="R12" s="159"/>
      <c r="S12" s="159"/>
      <c r="T12" s="161">
        <f>IFERROR(VLOOKUP(E12,'Medios humanos'!$B$3:$C$7,2,FALSE),0)</f>
        <v>0</v>
      </c>
      <c r="U12" s="161">
        <f>IFERROR(VLOOKUP(F12,'Medios humanos'!$B$10:$C$13,2,FALSE),0)</f>
        <v>0</v>
      </c>
      <c r="V12" s="161">
        <f>IFERROR(VLOOKUP(G12,'Medios humanos'!$B$16:$C$20,2,FALSE),0)</f>
        <v>0</v>
      </c>
      <c r="W12" s="161">
        <f>IFERROR(VLOOKUP(H12,'Medios humanos'!$B$23:$C$25,2,FALSE),0)</f>
        <v>0</v>
      </c>
      <c r="X12" s="160">
        <f t="shared" si="1"/>
        <v>0</v>
      </c>
      <c r="Y12" s="160">
        <f>IF($I$2="",0,IFERROR(VLOOKUP(I12,'Medios humanos'!$B$28:$C$29,2,FALSE),0))</f>
        <v>0</v>
      </c>
      <c r="Z12" s="160">
        <f>IF($J$2="",0,IFERROR(VLOOKUP(J12,'Medios humanos'!$B$35:$C$39,2,FALSE),0))</f>
        <v>0</v>
      </c>
      <c r="AA12" s="160">
        <f>IF($K$2="",0,IFERROR(VLOOKUP(K12,'Medios humanos'!$B$42:$C$46,2,FALSE),0))</f>
        <v>0</v>
      </c>
      <c r="AB12" s="160">
        <f t="shared" si="2"/>
        <v>0</v>
      </c>
      <c r="AC12" s="161">
        <f>IF($L$2="",0,IFERROR(VLOOKUP(L12,'Medios humanos'!$B$49:$C$53,2,FALSE)*'Resumen global'!$G$20,0))</f>
        <v>0</v>
      </c>
      <c r="AD12" s="161">
        <f>IF($L$2="",0,IFERROR(VLOOKUP(M12,'Medios humanos'!$B$56:$C$59,2,FALSE)*'Resumen global'!$G$20,0))</f>
        <v>0</v>
      </c>
      <c r="AE12" s="161">
        <f>IF($N$2="",0,IFERROR(VLOOKUP(N12,'Medios humanos'!$B$49:$C$53,2,FALSE)*'Resumen global'!$G$21,0))</f>
        <v>0</v>
      </c>
      <c r="AF12" s="161">
        <f>IF($N$2="",0,IFERROR(VLOOKUP(O12,'Medios humanos'!$B$56:$C$59,2,FALSE)*'Resumen global'!$G$21,0))</f>
        <v>0</v>
      </c>
      <c r="AG12" s="161">
        <f>IF($P$2="",0,IFERROR(VLOOKUP(P12,'Medios humanos'!$B$49:$C$53,2,FALSE)*'Resumen global'!$G$22,0))</f>
        <v>0</v>
      </c>
      <c r="AH12" s="161">
        <f>IF($P$2="",0,IFERROR(VLOOKUP(Q12,'Medios humanos'!$B$56:$C$59,2,FALSE)*'Resumen global'!$G$22,0))</f>
        <v>0</v>
      </c>
      <c r="AI12" s="161">
        <f>IF($R$2="",0,IFERROR(VLOOKUP(R12,'Medios humanos'!$B$49:$C$53,2,FALSE)*'Resumen global'!$G$23,0))</f>
        <v>0</v>
      </c>
      <c r="AJ12" s="161">
        <f>IF($R$2="",0,IFERROR(VLOOKUP(S12,'Medios humanos'!$B$56:$C$59,2,FALSE)*'Resumen global'!$G$23,0))</f>
        <v>0</v>
      </c>
      <c r="AK12" s="160">
        <f t="shared" si="3"/>
        <v>0</v>
      </c>
      <c r="AL12" s="161">
        <f>IFERROR((X12*'Resumen global'!$K$20+AB12*'Resumen global'!$K$21+AK12*'Resumen global'!$K$22)*10/5,0)</f>
        <v>0</v>
      </c>
      <c r="AM12" s="161">
        <f t="shared" si="0"/>
        <v>0</v>
      </c>
      <c r="AN12" s="161">
        <f t="shared" si="4"/>
        <v>0</v>
      </c>
    </row>
    <row r="13" spans="1:40" ht="14.4" hidden="1" x14ac:dyDescent="0.3">
      <c r="A13" s="40"/>
      <c r="B13" s="40"/>
      <c r="C13" s="57">
        <f>IFERROR(VLOOKUP(B13,'Resumen global'!$E$33:$F$39,2,FALSE),0)</f>
        <v>0</v>
      </c>
      <c r="D13" s="158"/>
      <c r="E13" s="159"/>
      <c r="F13" s="159"/>
      <c r="G13" s="159"/>
      <c r="H13" s="159"/>
      <c r="I13" s="159"/>
      <c r="J13" s="159"/>
      <c r="K13" s="159"/>
      <c r="L13" s="159"/>
      <c r="M13" s="159"/>
      <c r="N13" s="159"/>
      <c r="O13" s="159"/>
      <c r="P13" s="159"/>
      <c r="Q13" s="159"/>
      <c r="R13" s="159"/>
      <c r="S13" s="159"/>
      <c r="T13" s="161">
        <f>IFERROR(VLOOKUP(E13,'Medios humanos'!$B$3:$C$7,2,FALSE),0)</f>
        <v>0</v>
      </c>
      <c r="U13" s="161">
        <f>IFERROR(VLOOKUP(F13,'Medios humanos'!$B$10:$C$13,2,FALSE),0)</f>
        <v>0</v>
      </c>
      <c r="V13" s="161">
        <f>IFERROR(VLOOKUP(G13,'Medios humanos'!$B$16:$C$20,2,FALSE),0)</f>
        <v>0</v>
      </c>
      <c r="W13" s="161">
        <f>IFERROR(VLOOKUP(H13,'Medios humanos'!$B$23:$C$25,2,FALSE),0)</f>
        <v>0</v>
      </c>
      <c r="X13" s="160">
        <f t="shared" si="1"/>
        <v>0</v>
      </c>
      <c r="Y13" s="160">
        <f>IF($I$2="",0,IFERROR(VLOOKUP(I13,'Medios humanos'!$B$28:$C$29,2,FALSE),0))</f>
        <v>0</v>
      </c>
      <c r="Z13" s="160">
        <f>IF($J$2="",0,IFERROR(VLOOKUP(J13,'Medios humanos'!$B$35:$C$39,2,FALSE),0))</f>
        <v>0</v>
      </c>
      <c r="AA13" s="160">
        <f>IF($K$2="",0,IFERROR(VLOOKUP(K13,'Medios humanos'!$B$42:$C$46,2,FALSE),0))</f>
        <v>0</v>
      </c>
      <c r="AB13" s="160">
        <f t="shared" si="2"/>
        <v>0</v>
      </c>
      <c r="AC13" s="161">
        <f>IF($L$2="",0,IFERROR(VLOOKUP(L13,'Medios humanos'!$B$49:$C$53,2,FALSE)*'Resumen global'!$G$20,0))</f>
        <v>0</v>
      </c>
      <c r="AD13" s="161">
        <f>IF($L$2="",0,IFERROR(VLOOKUP(M13,'Medios humanos'!$B$56:$C$59,2,FALSE)*'Resumen global'!$G$20,0))</f>
        <v>0</v>
      </c>
      <c r="AE13" s="161">
        <f>IF($N$2="",0,IFERROR(VLOOKUP(N13,'Medios humanos'!$B$49:$C$53,2,FALSE)*'Resumen global'!$G$21,0))</f>
        <v>0</v>
      </c>
      <c r="AF13" s="161">
        <f>IF($N$2="",0,IFERROR(VLOOKUP(O13,'Medios humanos'!$B$56:$C$59,2,FALSE)*'Resumen global'!$G$21,0))</f>
        <v>0</v>
      </c>
      <c r="AG13" s="161">
        <f>IF($P$2="",0,IFERROR(VLOOKUP(P13,'Medios humanos'!$B$49:$C$53,2,FALSE)*'Resumen global'!$G$22,0))</f>
        <v>0</v>
      </c>
      <c r="AH13" s="161">
        <f>IF($P$2="",0,IFERROR(VLOOKUP(Q13,'Medios humanos'!$B$56:$C$59,2,FALSE)*'Resumen global'!$G$22,0))</f>
        <v>0</v>
      </c>
      <c r="AI13" s="161">
        <f>IF($R$2="",0,IFERROR(VLOOKUP(R13,'Medios humanos'!$B$49:$C$53,2,FALSE)*'Resumen global'!$G$23,0))</f>
        <v>0</v>
      </c>
      <c r="AJ13" s="161">
        <f>IF($R$2="",0,IFERROR(VLOOKUP(S13,'Medios humanos'!$B$56:$C$59,2,FALSE)*'Resumen global'!$G$23,0))</f>
        <v>0</v>
      </c>
      <c r="AK13" s="160">
        <f t="shared" si="3"/>
        <v>0</v>
      </c>
      <c r="AL13" s="161">
        <f>IFERROR((X13*'Resumen global'!$K$20+AB13*'Resumen global'!$K$21+AK13*'Resumen global'!$K$22)*10/5,0)</f>
        <v>0</v>
      </c>
      <c r="AM13" s="161">
        <f t="shared" si="0"/>
        <v>0</v>
      </c>
      <c r="AN13" s="161">
        <f t="shared" si="4"/>
        <v>0</v>
      </c>
    </row>
    <row r="14" spans="1:40" ht="14.4" hidden="1" x14ac:dyDescent="0.3">
      <c r="A14" s="40"/>
      <c r="B14" s="40"/>
      <c r="C14" s="57">
        <f>IFERROR(VLOOKUP(B14,'Resumen global'!$E$33:$F$39,2,FALSE),0)</f>
        <v>0</v>
      </c>
      <c r="D14" s="158"/>
      <c r="E14" s="159"/>
      <c r="F14" s="159"/>
      <c r="G14" s="159"/>
      <c r="H14" s="159"/>
      <c r="I14" s="159"/>
      <c r="J14" s="159"/>
      <c r="K14" s="159"/>
      <c r="L14" s="159"/>
      <c r="M14" s="159"/>
      <c r="N14" s="159"/>
      <c r="O14" s="159"/>
      <c r="P14" s="159"/>
      <c r="Q14" s="159"/>
      <c r="R14" s="159"/>
      <c r="S14" s="159"/>
      <c r="T14" s="161">
        <f>IFERROR(VLOOKUP(E14,'Medios humanos'!$B$3:$C$7,2,FALSE),0)</f>
        <v>0</v>
      </c>
      <c r="U14" s="161">
        <f>IFERROR(VLOOKUP(F14,'Medios humanos'!$B$10:$C$13,2,FALSE),0)</f>
        <v>0</v>
      </c>
      <c r="V14" s="161">
        <f>IFERROR(VLOOKUP(G14,'Medios humanos'!$B$16:$C$20,2,FALSE),0)</f>
        <v>0</v>
      </c>
      <c r="W14" s="161">
        <f>IFERROR(VLOOKUP(H14,'Medios humanos'!$B$23:$C$25,2,FALSE),0)</f>
        <v>0</v>
      </c>
      <c r="X14" s="160">
        <f t="shared" si="1"/>
        <v>0</v>
      </c>
      <c r="Y14" s="160">
        <f>IF($I$2="",0,IFERROR(VLOOKUP(I14,'Medios humanos'!$B$28:$C$29,2,FALSE),0))</f>
        <v>0</v>
      </c>
      <c r="Z14" s="160">
        <f>IF($J$2="",0,IFERROR(VLOOKUP(J14,'Medios humanos'!$B$35:$C$39,2,FALSE),0))</f>
        <v>0</v>
      </c>
      <c r="AA14" s="160">
        <f>IF($K$2="",0,IFERROR(VLOOKUP(K14,'Medios humanos'!$B$42:$C$46,2,FALSE),0))</f>
        <v>0</v>
      </c>
      <c r="AB14" s="160">
        <f t="shared" si="2"/>
        <v>0</v>
      </c>
      <c r="AC14" s="161">
        <f>IF($L$2="",0,IFERROR(VLOOKUP(L14,'Medios humanos'!$B$49:$C$53,2,FALSE)*'Resumen global'!$G$20,0))</f>
        <v>0</v>
      </c>
      <c r="AD14" s="161">
        <f>IF($L$2="",0,IFERROR(VLOOKUP(M14,'Medios humanos'!$B$56:$C$59,2,FALSE)*'Resumen global'!$G$20,0))</f>
        <v>0</v>
      </c>
      <c r="AE14" s="161">
        <f>IF($N$2="",0,IFERROR(VLOOKUP(N14,'Medios humanos'!$B$49:$C$53,2,FALSE)*'Resumen global'!$G$21,0))</f>
        <v>0</v>
      </c>
      <c r="AF14" s="161">
        <f>IF($N$2="",0,IFERROR(VLOOKUP(O14,'Medios humanos'!$B$56:$C$59,2,FALSE)*'Resumen global'!$G$21,0))</f>
        <v>0</v>
      </c>
      <c r="AG14" s="161">
        <f>IF($P$2="",0,IFERROR(VLOOKUP(P14,'Medios humanos'!$B$49:$C$53,2,FALSE)*'Resumen global'!$G$22,0))</f>
        <v>0</v>
      </c>
      <c r="AH14" s="161">
        <f>IF($P$2="",0,IFERROR(VLOOKUP(Q14,'Medios humanos'!$B$56:$C$59,2,FALSE)*'Resumen global'!$G$22,0))</f>
        <v>0</v>
      </c>
      <c r="AI14" s="161">
        <f>IF($R$2="",0,IFERROR(VLOOKUP(R14,'Medios humanos'!$B$49:$C$53,2,FALSE)*'Resumen global'!$G$23,0))</f>
        <v>0</v>
      </c>
      <c r="AJ14" s="161">
        <f>IF($R$2="",0,IFERROR(VLOOKUP(S14,'Medios humanos'!$B$56:$C$59,2,FALSE)*'Resumen global'!$G$23,0))</f>
        <v>0</v>
      </c>
      <c r="AK14" s="160">
        <f t="shared" si="3"/>
        <v>0</v>
      </c>
      <c r="AL14" s="161">
        <f>IFERROR((X14*'Resumen global'!$K$20+AB14*'Resumen global'!$K$21+AK14*'Resumen global'!$K$22)*10/5,0)</f>
        <v>0</v>
      </c>
      <c r="AM14" s="161">
        <f t="shared" si="0"/>
        <v>0</v>
      </c>
      <c r="AN14" s="161">
        <f t="shared" si="4"/>
        <v>0</v>
      </c>
    </row>
    <row r="15" spans="1:40" ht="14.4" hidden="1" x14ac:dyDescent="0.3">
      <c r="A15" s="40"/>
      <c r="B15" s="40"/>
      <c r="C15" s="57">
        <f>IFERROR(VLOOKUP(B15,'Resumen global'!$E$33:$F$39,2,FALSE),0)</f>
        <v>0</v>
      </c>
      <c r="D15" s="158"/>
      <c r="E15" s="159"/>
      <c r="F15" s="159"/>
      <c r="G15" s="159"/>
      <c r="H15" s="159"/>
      <c r="I15" s="159"/>
      <c r="J15" s="159"/>
      <c r="K15" s="159"/>
      <c r="L15" s="159"/>
      <c r="M15" s="159"/>
      <c r="N15" s="159"/>
      <c r="O15" s="159"/>
      <c r="P15" s="159"/>
      <c r="Q15" s="159"/>
      <c r="R15" s="159"/>
      <c r="S15" s="159"/>
      <c r="T15" s="161">
        <f>IFERROR(VLOOKUP(E15,'Medios humanos'!$B$3:$C$7,2,FALSE),0)</f>
        <v>0</v>
      </c>
      <c r="U15" s="161">
        <f>IFERROR(VLOOKUP(F15,'Medios humanos'!$B$10:$C$13,2,FALSE),0)</f>
        <v>0</v>
      </c>
      <c r="V15" s="161">
        <f>IFERROR(VLOOKUP(G15,'Medios humanos'!$B$16:$C$20,2,FALSE),0)</f>
        <v>0</v>
      </c>
      <c r="W15" s="161">
        <f>IFERROR(VLOOKUP(H15,'Medios humanos'!$B$23:$C$25,2,FALSE),0)</f>
        <v>0</v>
      </c>
      <c r="X15" s="160">
        <f t="shared" si="1"/>
        <v>0</v>
      </c>
      <c r="Y15" s="160">
        <f>IF($I$2="",0,IFERROR(VLOOKUP(I15,'Medios humanos'!$B$28:$C$29,2,FALSE),0))</f>
        <v>0</v>
      </c>
      <c r="Z15" s="160">
        <f>IF($J$2="",0,IFERROR(VLOOKUP(J15,'Medios humanos'!$B$35:$C$39,2,FALSE),0))</f>
        <v>0</v>
      </c>
      <c r="AA15" s="160">
        <f>IF($K$2="",0,IFERROR(VLOOKUP(K15,'Medios humanos'!$B$42:$C$46,2,FALSE),0))</f>
        <v>0</v>
      </c>
      <c r="AB15" s="160">
        <f t="shared" si="2"/>
        <v>0</v>
      </c>
      <c r="AC15" s="161">
        <f>IF($L$2="",0,IFERROR(VLOOKUP(L15,'Medios humanos'!$B$49:$C$53,2,FALSE)*'Resumen global'!$G$20,0))</f>
        <v>0</v>
      </c>
      <c r="AD15" s="161">
        <f>IF($L$2="",0,IFERROR(VLOOKUP(M15,'Medios humanos'!$B$56:$C$59,2,FALSE)*'Resumen global'!$G$20,0))</f>
        <v>0</v>
      </c>
      <c r="AE15" s="161">
        <f>IF($N$2="",0,IFERROR(VLOOKUP(N15,'Medios humanos'!$B$49:$C$53,2,FALSE)*'Resumen global'!$G$21,0))</f>
        <v>0</v>
      </c>
      <c r="AF15" s="161">
        <f>IF($N$2="",0,IFERROR(VLOOKUP(O15,'Medios humanos'!$B$56:$C$59,2,FALSE)*'Resumen global'!$G$21,0))</f>
        <v>0</v>
      </c>
      <c r="AG15" s="161">
        <f>IF($P$2="",0,IFERROR(VLOOKUP(P15,'Medios humanos'!$B$49:$C$53,2,FALSE)*'Resumen global'!$G$22,0))</f>
        <v>0</v>
      </c>
      <c r="AH15" s="161">
        <f>IF($P$2="",0,IFERROR(VLOOKUP(Q15,'Medios humanos'!$B$56:$C$59,2,FALSE)*'Resumen global'!$G$22,0))</f>
        <v>0</v>
      </c>
      <c r="AI15" s="161">
        <f>IF($R$2="",0,IFERROR(VLOOKUP(R15,'Medios humanos'!$B$49:$C$53,2,FALSE)*'Resumen global'!$G$23,0))</f>
        <v>0</v>
      </c>
      <c r="AJ15" s="161">
        <f>IF($R$2="",0,IFERROR(VLOOKUP(S15,'Medios humanos'!$B$56:$C$59,2,FALSE)*'Resumen global'!$G$23,0))</f>
        <v>0</v>
      </c>
      <c r="AK15" s="160">
        <f t="shared" si="3"/>
        <v>0</v>
      </c>
      <c r="AL15" s="161">
        <f>IFERROR((X15*'Resumen global'!$K$20+AB15*'Resumen global'!$K$21+AK15*'Resumen global'!$K$22)*10/5,0)</f>
        <v>0</v>
      </c>
      <c r="AM15" s="161">
        <f t="shared" si="0"/>
        <v>0</v>
      </c>
      <c r="AN15" s="161">
        <f t="shared" si="4"/>
        <v>0</v>
      </c>
    </row>
    <row r="16" spans="1:40" ht="14.4" hidden="1" x14ac:dyDescent="0.3">
      <c r="A16" s="40"/>
      <c r="B16" s="40"/>
      <c r="C16" s="57">
        <f>IFERROR(VLOOKUP(B16,'Resumen global'!$E$33:$F$39,2,FALSE),0)</f>
        <v>0</v>
      </c>
      <c r="D16" s="158"/>
      <c r="E16" s="159"/>
      <c r="F16" s="159"/>
      <c r="G16" s="159"/>
      <c r="H16" s="159"/>
      <c r="I16" s="159"/>
      <c r="J16" s="159"/>
      <c r="K16" s="159"/>
      <c r="L16" s="159"/>
      <c r="M16" s="159"/>
      <c r="N16" s="159"/>
      <c r="O16" s="159"/>
      <c r="P16" s="159"/>
      <c r="Q16" s="159"/>
      <c r="R16" s="159"/>
      <c r="S16" s="159"/>
      <c r="T16" s="161">
        <f>IFERROR(VLOOKUP(E16,'Medios humanos'!$B$3:$C$7,2,FALSE),0)</f>
        <v>0</v>
      </c>
      <c r="U16" s="161">
        <f>IFERROR(VLOOKUP(F16,'Medios humanos'!$B$10:$C$13,2,FALSE),0)</f>
        <v>0</v>
      </c>
      <c r="V16" s="161">
        <f>IFERROR(VLOOKUP(G16,'Medios humanos'!$B$16:$C$20,2,FALSE),0)</f>
        <v>0</v>
      </c>
      <c r="W16" s="161">
        <f>IFERROR(VLOOKUP(H16,'Medios humanos'!$B$23:$C$25,2,FALSE),0)</f>
        <v>0</v>
      </c>
      <c r="X16" s="160">
        <f t="shared" si="1"/>
        <v>0</v>
      </c>
      <c r="Y16" s="160">
        <f>IF($I$2="",0,IFERROR(VLOOKUP(I16,'Medios humanos'!$B$28:$C$29,2,FALSE),0))</f>
        <v>0</v>
      </c>
      <c r="Z16" s="160">
        <f>IF($J$2="",0,IFERROR(VLOOKUP(J16,'Medios humanos'!$B$35:$C$39,2,FALSE),0))</f>
        <v>0</v>
      </c>
      <c r="AA16" s="160">
        <f>IF($K$2="",0,IFERROR(VLOOKUP(K16,'Medios humanos'!$B$42:$C$46,2,FALSE),0))</f>
        <v>0</v>
      </c>
      <c r="AB16" s="160">
        <f t="shared" si="2"/>
        <v>0</v>
      </c>
      <c r="AC16" s="161">
        <f>IF($L$2="",0,IFERROR(VLOOKUP(L16,'Medios humanos'!$B$49:$C$53,2,FALSE)*'Resumen global'!$G$20,0))</f>
        <v>0</v>
      </c>
      <c r="AD16" s="161">
        <f>IF($L$2="",0,IFERROR(VLOOKUP(M16,'Medios humanos'!$B$56:$C$59,2,FALSE)*'Resumen global'!$G$20,0))</f>
        <v>0</v>
      </c>
      <c r="AE16" s="161">
        <f>IF($N$2="",0,IFERROR(VLOOKUP(N16,'Medios humanos'!$B$49:$C$53,2,FALSE)*'Resumen global'!$G$21,0))</f>
        <v>0</v>
      </c>
      <c r="AF16" s="161">
        <f>IF($N$2="",0,IFERROR(VLOOKUP(O16,'Medios humanos'!$B$56:$C$59,2,FALSE)*'Resumen global'!$G$21,0))</f>
        <v>0</v>
      </c>
      <c r="AG16" s="161">
        <f>IF($P$2="",0,IFERROR(VLOOKUP(P16,'Medios humanos'!$B$49:$C$53,2,FALSE)*'Resumen global'!$G$22,0))</f>
        <v>0</v>
      </c>
      <c r="AH16" s="161">
        <f>IF($P$2="",0,IFERROR(VLOOKUP(Q16,'Medios humanos'!$B$56:$C$59,2,FALSE)*'Resumen global'!$G$22,0))</f>
        <v>0</v>
      </c>
      <c r="AI16" s="161">
        <f>IF($R$2="",0,IFERROR(VLOOKUP(R16,'Medios humanos'!$B$49:$C$53,2,FALSE)*'Resumen global'!$G$23,0))</f>
        <v>0</v>
      </c>
      <c r="AJ16" s="161">
        <f>IF($R$2="",0,IFERROR(VLOOKUP(S16,'Medios humanos'!$B$56:$C$59,2,FALSE)*'Resumen global'!$G$23,0))</f>
        <v>0</v>
      </c>
      <c r="AK16" s="160">
        <f t="shared" si="3"/>
        <v>0</v>
      </c>
      <c r="AL16" s="161">
        <f>IFERROR((X16*'Resumen global'!$K$20+AB16*'Resumen global'!$K$21+AK16*'Resumen global'!$K$22)*10/5,0)</f>
        <v>0</v>
      </c>
      <c r="AM16" s="161">
        <f t="shared" si="0"/>
        <v>0</v>
      </c>
      <c r="AN16" s="161">
        <f t="shared" si="4"/>
        <v>0</v>
      </c>
    </row>
    <row r="17" spans="1:40" ht="14.4" hidden="1" x14ac:dyDescent="0.3">
      <c r="A17" s="40"/>
      <c r="B17" s="40"/>
      <c r="C17" s="57">
        <f>IFERROR(VLOOKUP(B17,'Resumen global'!$E$33:$F$39,2,FALSE),0)</f>
        <v>0</v>
      </c>
      <c r="D17" s="158"/>
      <c r="E17" s="159"/>
      <c r="F17" s="159"/>
      <c r="G17" s="159"/>
      <c r="H17" s="159"/>
      <c r="I17" s="159"/>
      <c r="J17" s="159"/>
      <c r="K17" s="159"/>
      <c r="L17" s="159"/>
      <c r="M17" s="159"/>
      <c r="N17" s="159"/>
      <c r="O17" s="159"/>
      <c r="P17" s="159"/>
      <c r="Q17" s="159"/>
      <c r="R17" s="159"/>
      <c r="S17" s="159"/>
      <c r="T17" s="161">
        <f>IFERROR(VLOOKUP(E17,'Medios humanos'!$B$3:$C$7,2,FALSE),0)</f>
        <v>0</v>
      </c>
      <c r="U17" s="161">
        <f>IFERROR(VLOOKUP(F17,'Medios humanos'!$B$10:$C$13,2,FALSE),0)</f>
        <v>0</v>
      </c>
      <c r="V17" s="161">
        <f>IFERROR(VLOOKUP(G17,'Medios humanos'!$B$16:$C$20,2,FALSE),0)</f>
        <v>0</v>
      </c>
      <c r="W17" s="161">
        <f>IFERROR(VLOOKUP(H17,'Medios humanos'!$B$23:$C$25,2,FALSE),0)</f>
        <v>0</v>
      </c>
      <c r="X17" s="160">
        <f t="shared" si="1"/>
        <v>0</v>
      </c>
      <c r="Y17" s="160">
        <f>IF($I$2="",0,IFERROR(VLOOKUP(I17,'Medios humanos'!$B$28:$C$29,2,FALSE),0))</f>
        <v>0</v>
      </c>
      <c r="Z17" s="160">
        <f>IF($J$2="",0,IFERROR(VLOOKUP(J17,'Medios humanos'!$B$35:$C$39,2,FALSE),0))</f>
        <v>0</v>
      </c>
      <c r="AA17" s="160">
        <f>IF($K$2="",0,IFERROR(VLOOKUP(K17,'Medios humanos'!$B$42:$C$46,2,FALSE),0))</f>
        <v>0</v>
      </c>
      <c r="AB17" s="160">
        <f t="shared" si="2"/>
        <v>0</v>
      </c>
      <c r="AC17" s="161">
        <f>IF($L$2="",0,IFERROR(VLOOKUP(L17,'Medios humanos'!$B$49:$C$53,2,FALSE)*'Resumen global'!$G$20,0))</f>
        <v>0</v>
      </c>
      <c r="AD17" s="161">
        <f>IF($L$2="",0,IFERROR(VLOOKUP(M17,'Medios humanos'!$B$56:$C$59,2,FALSE)*'Resumen global'!$G$20,0))</f>
        <v>0</v>
      </c>
      <c r="AE17" s="161">
        <f>IF($N$2="",0,IFERROR(VLOOKUP(N17,'Medios humanos'!$B$49:$C$53,2,FALSE)*'Resumen global'!$G$21,0))</f>
        <v>0</v>
      </c>
      <c r="AF17" s="161">
        <f>IF($N$2="",0,IFERROR(VLOOKUP(O17,'Medios humanos'!$B$56:$C$59,2,FALSE)*'Resumen global'!$G$21,0))</f>
        <v>0</v>
      </c>
      <c r="AG17" s="161">
        <f>IF($P$2="",0,IFERROR(VLOOKUP(P17,'Medios humanos'!$B$49:$C$53,2,FALSE)*'Resumen global'!$G$22,0))</f>
        <v>0</v>
      </c>
      <c r="AH17" s="161">
        <f>IF($P$2="",0,IFERROR(VLOOKUP(Q17,'Medios humanos'!$B$56:$C$59,2,FALSE)*'Resumen global'!$G$22,0))</f>
        <v>0</v>
      </c>
      <c r="AI17" s="161">
        <f>IF($R$2="",0,IFERROR(VLOOKUP(R17,'Medios humanos'!$B$49:$C$53,2,FALSE)*'Resumen global'!$G$23,0))</f>
        <v>0</v>
      </c>
      <c r="AJ17" s="161">
        <f>IF($R$2="",0,IFERROR(VLOOKUP(S17,'Medios humanos'!$B$56:$C$59,2,FALSE)*'Resumen global'!$G$23,0))</f>
        <v>0</v>
      </c>
      <c r="AK17" s="160">
        <f t="shared" si="3"/>
        <v>0</v>
      </c>
      <c r="AL17" s="161">
        <f>IFERROR((X17*'Resumen global'!$K$20+AB17*'Resumen global'!$K$21+AK17*'Resumen global'!$K$22)*10/5,0)</f>
        <v>0</v>
      </c>
      <c r="AM17" s="161">
        <f t="shared" si="0"/>
        <v>0</v>
      </c>
      <c r="AN17" s="161">
        <f t="shared" si="4"/>
        <v>0</v>
      </c>
    </row>
    <row r="18" spans="1:40" ht="14.4" hidden="1" x14ac:dyDescent="0.3">
      <c r="A18" s="40"/>
      <c r="B18" s="40"/>
      <c r="C18" s="57">
        <f>IFERROR(VLOOKUP(B18,'Resumen global'!$E$33:$F$39,2,FALSE),0)</f>
        <v>0</v>
      </c>
      <c r="D18" s="158"/>
      <c r="E18" s="159"/>
      <c r="F18" s="159"/>
      <c r="G18" s="159"/>
      <c r="H18" s="159"/>
      <c r="I18" s="159"/>
      <c r="J18" s="159"/>
      <c r="K18" s="159"/>
      <c r="L18" s="159"/>
      <c r="M18" s="159"/>
      <c r="N18" s="159"/>
      <c r="O18" s="159"/>
      <c r="P18" s="159"/>
      <c r="Q18" s="159"/>
      <c r="R18" s="159"/>
      <c r="S18" s="159"/>
      <c r="T18" s="161">
        <f>IFERROR(VLOOKUP(E18,'Medios humanos'!$B$3:$C$7,2,FALSE),0)</f>
        <v>0</v>
      </c>
      <c r="U18" s="161">
        <f>IFERROR(VLOOKUP(F18,'Medios humanos'!$B$10:$C$13,2,FALSE),0)</f>
        <v>0</v>
      </c>
      <c r="V18" s="161">
        <f>IFERROR(VLOOKUP(G18,'Medios humanos'!$B$16:$C$20,2,FALSE),0)</f>
        <v>0</v>
      </c>
      <c r="W18" s="161">
        <f>IFERROR(VLOOKUP(H18,'Medios humanos'!$B$23:$C$25,2,FALSE),0)</f>
        <v>0</v>
      </c>
      <c r="X18" s="160">
        <f t="shared" si="1"/>
        <v>0</v>
      </c>
      <c r="Y18" s="160">
        <f>IF($I$2="",0,IFERROR(VLOOKUP(I18,'Medios humanos'!$B$28:$C$29,2,FALSE),0))</f>
        <v>0</v>
      </c>
      <c r="Z18" s="160">
        <f>IF($J$2="",0,IFERROR(VLOOKUP(J18,'Medios humanos'!$B$35:$C$39,2,FALSE),0))</f>
        <v>0</v>
      </c>
      <c r="AA18" s="160">
        <f>IF($K$2="",0,IFERROR(VLOOKUP(K18,'Medios humanos'!$B$42:$C$46,2,FALSE),0))</f>
        <v>0</v>
      </c>
      <c r="AB18" s="160">
        <f t="shared" si="2"/>
        <v>0</v>
      </c>
      <c r="AC18" s="161">
        <f>IF($L$2="",0,IFERROR(VLOOKUP(L18,'Medios humanos'!$B$49:$C$53,2,FALSE)*'Resumen global'!$G$20,0))</f>
        <v>0</v>
      </c>
      <c r="AD18" s="161">
        <f>IF($L$2="",0,IFERROR(VLOOKUP(M18,'Medios humanos'!$B$56:$C$59,2,FALSE)*'Resumen global'!$G$20,0))</f>
        <v>0</v>
      </c>
      <c r="AE18" s="161">
        <f>IF($N$2="",0,IFERROR(VLOOKUP(N18,'Medios humanos'!$B$49:$C$53,2,FALSE)*'Resumen global'!$G$21,0))</f>
        <v>0</v>
      </c>
      <c r="AF18" s="161">
        <f>IF($N$2="",0,IFERROR(VLOOKUP(O18,'Medios humanos'!$B$56:$C$59,2,FALSE)*'Resumen global'!$G$21,0))</f>
        <v>0</v>
      </c>
      <c r="AG18" s="161">
        <f>IF($P$2="",0,IFERROR(VLOOKUP(P18,'Medios humanos'!$B$49:$C$53,2,FALSE)*'Resumen global'!$G$22,0))</f>
        <v>0</v>
      </c>
      <c r="AH18" s="161">
        <f>IF($P$2="",0,IFERROR(VLOOKUP(Q18,'Medios humanos'!$B$56:$C$59,2,FALSE)*'Resumen global'!$G$22,0))</f>
        <v>0</v>
      </c>
      <c r="AI18" s="161">
        <f>IF($R$2="",0,IFERROR(VLOOKUP(R18,'Medios humanos'!$B$49:$C$53,2,FALSE)*'Resumen global'!$G$23,0))</f>
        <v>0</v>
      </c>
      <c r="AJ18" s="161">
        <f>IF($R$2="",0,IFERROR(VLOOKUP(S18,'Medios humanos'!$B$56:$C$59,2,FALSE)*'Resumen global'!$G$23,0))</f>
        <v>0</v>
      </c>
      <c r="AK18" s="160">
        <f t="shared" si="3"/>
        <v>0</v>
      </c>
      <c r="AL18" s="161">
        <f>IFERROR((X18*'Resumen global'!$K$20+AB18*'Resumen global'!$K$21+AK18*'Resumen global'!$K$22)*10/5,0)</f>
        <v>0</v>
      </c>
      <c r="AM18" s="161">
        <f t="shared" si="0"/>
        <v>0</v>
      </c>
      <c r="AN18" s="161">
        <f t="shared" si="4"/>
        <v>0</v>
      </c>
    </row>
    <row r="19" spans="1:40" ht="14.4" hidden="1" x14ac:dyDescent="0.3">
      <c r="A19" s="40"/>
      <c r="B19" s="40"/>
      <c r="C19" s="57">
        <f>IFERROR(VLOOKUP(B19,'Resumen global'!$E$33:$F$39,2,FALSE),0)</f>
        <v>0</v>
      </c>
      <c r="D19" s="158"/>
      <c r="E19" s="159"/>
      <c r="F19" s="159"/>
      <c r="G19" s="159"/>
      <c r="H19" s="159"/>
      <c r="I19" s="159"/>
      <c r="J19" s="159"/>
      <c r="K19" s="159"/>
      <c r="L19" s="159"/>
      <c r="M19" s="159"/>
      <c r="N19" s="159"/>
      <c r="O19" s="159"/>
      <c r="P19" s="159"/>
      <c r="Q19" s="159"/>
      <c r="R19" s="159"/>
      <c r="S19" s="159"/>
      <c r="T19" s="161">
        <f>IFERROR(VLOOKUP(E19,'Medios humanos'!$B$3:$C$7,2,FALSE),0)</f>
        <v>0</v>
      </c>
      <c r="U19" s="161">
        <f>IFERROR(VLOOKUP(F19,'Medios humanos'!$B$10:$C$13,2,FALSE),0)</f>
        <v>0</v>
      </c>
      <c r="V19" s="161">
        <f>IFERROR(VLOOKUP(G19,'Medios humanos'!$B$16:$C$20,2,FALSE),0)</f>
        <v>0</v>
      </c>
      <c r="W19" s="161">
        <f>IFERROR(VLOOKUP(H19,'Medios humanos'!$B$23:$C$25,2,FALSE),0)</f>
        <v>0</v>
      </c>
      <c r="X19" s="160">
        <f t="shared" si="1"/>
        <v>0</v>
      </c>
      <c r="Y19" s="160">
        <f>IF($I$2="",0,IFERROR(VLOOKUP(I19,'Medios humanos'!$B$28:$C$29,2,FALSE),0))</f>
        <v>0</v>
      </c>
      <c r="Z19" s="160">
        <f>IF($J$2="",0,IFERROR(VLOOKUP(J19,'Medios humanos'!$B$35:$C$39,2,FALSE),0))</f>
        <v>0</v>
      </c>
      <c r="AA19" s="160">
        <f>IF($K$2="",0,IFERROR(VLOOKUP(K19,'Medios humanos'!$B$42:$C$46,2,FALSE),0))</f>
        <v>0</v>
      </c>
      <c r="AB19" s="160">
        <f t="shared" si="2"/>
        <v>0</v>
      </c>
      <c r="AC19" s="161">
        <f>IF($L$2="",0,IFERROR(VLOOKUP(L19,'Medios humanos'!$B$49:$C$53,2,FALSE)*'Resumen global'!$G$20,0))</f>
        <v>0</v>
      </c>
      <c r="AD19" s="161">
        <f>IF($L$2="",0,IFERROR(VLOOKUP(M19,'Medios humanos'!$B$56:$C$59,2,FALSE)*'Resumen global'!$G$20,0))</f>
        <v>0</v>
      </c>
      <c r="AE19" s="161">
        <f>IF($N$2="",0,IFERROR(VLOOKUP(N19,'Medios humanos'!$B$49:$C$53,2,FALSE)*'Resumen global'!$G$21,0))</f>
        <v>0</v>
      </c>
      <c r="AF19" s="161">
        <f>IF($N$2="",0,IFERROR(VLOOKUP(O19,'Medios humanos'!$B$56:$C$59,2,FALSE)*'Resumen global'!$G$21,0))</f>
        <v>0</v>
      </c>
      <c r="AG19" s="161">
        <f>IF($P$2="",0,IFERROR(VLOOKUP(P19,'Medios humanos'!$B$49:$C$53,2,FALSE)*'Resumen global'!$G$22,0))</f>
        <v>0</v>
      </c>
      <c r="AH19" s="161">
        <f>IF($P$2="",0,IFERROR(VLOOKUP(Q19,'Medios humanos'!$B$56:$C$59,2,FALSE)*'Resumen global'!$G$22,0))</f>
        <v>0</v>
      </c>
      <c r="AI19" s="161">
        <f>IF($R$2="",0,IFERROR(VLOOKUP(R19,'Medios humanos'!$B$49:$C$53,2,FALSE)*'Resumen global'!$G$23,0))</f>
        <v>0</v>
      </c>
      <c r="AJ19" s="161">
        <f>IF($R$2="",0,IFERROR(VLOOKUP(S19,'Medios humanos'!$B$56:$C$59,2,FALSE)*'Resumen global'!$G$23,0))</f>
        <v>0</v>
      </c>
      <c r="AK19" s="160">
        <f t="shared" si="3"/>
        <v>0</v>
      </c>
      <c r="AL19" s="161">
        <f>IFERROR((X19*'Resumen global'!$K$20+AB19*'Resumen global'!$K$21+AK19*'Resumen global'!$K$22)*10/5,0)</f>
        <v>0</v>
      </c>
      <c r="AM19" s="161">
        <f t="shared" si="0"/>
        <v>0</v>
      </c>
      <c r="AN19" s="161">
        <f t="shared" si="4"/>
        <v>0</v>
      </c>
    </row>
    <row r="20" spans="1:40" ht="14.4" hidden="1" x14ac:dyDescent="0.3">
      <c r="A20" s="40"/>
      <c r="B20" s="40"/>
      <c r="C20" s="57">
        <f>IFERROR(VLOOKUP(B20,'Resumen global'!$E$33:$F$39,2,FALSE),0)</f>
        <v>0</v>
      </c>
      <c r="D20" s="158"/>
      <c r="E20" s="159"/>
      <c r="F20" s="159"/>
      <c r="G20" s="159"/>
      <c r="H20" s="159"/>
      <c r="I20" s="159"/>
      <c r="J20" s="159"/>
      <c r="K20" s="159"/>
      <c r="L20" s="159"/>
      <c r="M20" s="159"/>
      <c r="N20" s="159"/>
      <c r="O20" s="159"/>
      <c r="P20" s="159"/>
      <c r="Q20" s="159"/>
      <c r="R20" s="159"/>
      <c r="S20" s="159"/>
      <c r="T20" s="161">
        <f>IFERROR(VLOOKUP(E20,'Medios humanos'!$B$3:$C$7,2,FALSE),0)</f>
        <v>0</v>
      </c>
      <c r="U20" s="161">
        <f>IFERROR(VLOOKUP(F20,'Medios humanos'!$B$10:$C$13,2,FALSE),0)</f>
        <v>0</v>
      </c>
      <c r="V20" s="161">
        <f>IFERROR(VLOOKUP(G20,'Medios humanos'!$B$16:$C$20,2,FALSE),0)</f>
        <v>0</v>
      </c>
      <c r="W20" s="161">
        <f>IFERROR(VLOOKUP(H20,'Medios humanos'!$B$23:$C$25,2,FALSE),0)</f>
        <v>0</v>
      </c>
      <c r="X20" s="160">
        <f t="shared" si="1"/>
        <v>0</v>
      </c>
      <c r="Y20" s="160">
        <f>IF($I$2="",0,IFERROR(VLOOKUP(I20,'Medios humanos'!$B$28:$C$29,2,FALSE),0))</f>
        <v>0</v>
      </c>
      <c r="Z20" s="160">
        <f>IF($J$2="",0,IFERROR(VLOOKUP(J20,'Medios humanos'!$B$35:$C$39,2,FALSE),0))</f>
        <v>0</v>
      </c>
      <c r="AA20" s="160">
        <f>IF($K$2="",0,IFERROR(VLOOKUP(K20,'Medios humanos'!$B$42:$C$46,2,FALSE),0))</f>
        <v>0</v>
      </c>
      <c r="AB20" s="160">
        <f t="shared" si="2"/>
        <v>0</v>
      </c>
      <c r="AC20" s="161">
        <f>IF($L$2="",0,IFERROR(VLOOKUP(L20,'Medios humanos'!$B$49:$C$53,2,FALSE)*'Resumen global'!$G$20,0))</f>
        <v>0</v>
      </c>
      <c r="AD20" s="161">
        <f>IF($L$2="",0,IFERROR(VLOOKUP(M20,'Medios humanos'!$B$56:$C$59,2,FALSE)*'Resumen global'!$G$20,0))</f>
        <v>0</v>
      </c>
      <c r="AE20" s="161">
        <f>IF($N$2="",0,IFERROR(VLOOKUP(N20,'Medios humanos'!$B$49:$C$53,2,FALSE)*'Resumen global'!$G$21,0))</f>
        <v>0</v>
      </c>
      <c r="AF20" s="161">
        <f>IF($N$2="",0,IFERROR(VLOOKUP(O20,'Medios humanos'!$B$56:$C$59,2,FALSE)*'Resumen global'!$G$21,0))</f>
        <v>0</v>
      </c>
      <c r="AG20" s="161">
        <f>IF($P$2="",0,IFERROR(VLOOKUP(P20,'Medios humanos'!$B$49:$C$53,2,FALSE)*'Resumen global'!$G$22,0))</f>
        <v>0</v>
      </c>
      <c r="AH20" s="161">
        <f>IF($P$2="",0,IFERROR(VLOOKUP(Q20,'Medios humanos'!$B$56:$C$59,2,FALSE)*'Resumen global'!$G$22,0))</f>
        <v>0</v>
      </c>
      <c r="AI20" s="161">
        <f>IF($R$2="",0,IFERROR(VLOOKUP(R20,'Medios humanos'!$B$49:$C$53,2,FALSE)*'Resumen global'!$G$23,0))</f>
        <v>0</v>
      </c>
      <c r="AJ20" s="161">
        <f>IF($R$2="",0,IFERROR(VLOOKUP(S20,'Medios humanos'!$B$56:$C$59,2,FALSE)*'Resumen global'!$G$23,0))</f>
        <v>0</v>
      </c>
      <c r="AK20" s="160">
        <f t="shared" si="3"/>
        <v>0</v>
      </c>
      <c r="AL20" s="161">
        <f>IFERROR((X20*'Resumen global'!$K$20+AB20*'Resumen global'!$K$21+AK20*'Resumen global'!$K$22)*10/5,0)</f>
        <v>0</v>
      </c>
      <c r="AM20" s="161">
        <f t="shared" si="0"/>
        <v>0</v>
      </c>
      <c r="AN20" s="161">
        <f t="shared" si="4"/>
        <v>0</v>
      </c>
    </row>
    <row r="21" spans="1:40" ht="14.4" hidden="1" x14ac:dyDescent="0.3">
      <c r="A21" s="40"/>
      <c r="B21" s="40"/>
      <c r="C21" s="57">
        <f>IFERROR(VLOOKUP(B21,'Resumen global'!$E$33:$F$39,2,FALSE),0)</f>
        <v>0</v>
      </c>
      <c r="D21" s="158"/>
      <c r="E21" s="159"/>
      <c r="F21" s="159"/>
      <c r="G21" s="159"/>
      <c r="H21" s="159"/>
      <c r="I21" s="159"/>
      <c r="J21" s="159"/>
      <c r="K21" s="159"/>
      <c r="L21" s="159"/>
      <c r="M21" s="159"/>
      <c r="N21" s="159"/>
      <c r="O21" s="159"/>
      <c r="P21" s="159"/>
      <c r="Q21" s="159"/>
      <c r="R21" s="159"/>
      <c r="S21" s="159"/>
      <c r="T21" s="161">
        <f>IFERROR(VLOOKUP(E21,'Medios humanos'!$B$3:$C$7,2,FALSE),0)</f>
        <v>0</v>
      </c>
      <c r="U21" s="161">
        <f>IFERROR(VLOOKUP(F21,'Medios humanos'!$B$10:$C$13,2,FALSE),0)</f>
        <v>0</v>
      </c>
      <c r="V21" s="161">
        <f>IFERROR(VLOOKUP(G21,'Medios humanos'!$B$16:$C$20,2,FALSE),0)</f>
        <v>0</v>
      </c>
      <c r="W21" s="161">
        <f>IFERROR(VLOOKUP(H21,'Medios humanos'!$B$23:$C$25,2,FALSE),0)</f>
        <v>0</v>
      </c>
      <c r="X21" s="160">
        <f t="shared" si="1"/>
        <v>0</v>
      </c>
      <c r="Y21" s="160">
        <f>IF($I$2="",0,IFERROR(VLOOKUP(I21,'Medios humanos'!$B$28:$C$29,2,FALSE),0))</f>
        <v>0</v>
      </c>
      <c r="Z21" s="160">
        <f>IF($J$2="",0,IFERROR(VLOOKUP(J21,'Medios humanos'!$B$35:$C$39,2,FALSE),0))</f>
        <v>0</v>
      </c>
      <c r="AA21" s="160">
        <f>IF($K$2="",0,IFERROR(VLOOKUP(K21,'Medios humanos'!$B$42:$C$46,2,FALSE),0))</f>
        <v>0</v>
      </c>
      <c r="AB21" s="160">
        <f t="shared" si="2"/>
        <v>0</v>
      </c>
      <c r="AC21" s="161">
        <f>IF($L$2="",0,IFERROR(VLOOKUP(L21,'Medios humanos'!$B$49:$C$53,2,FALSE)*'Resumen global'!$G$20,0))</f>
        <v>0</v>
      </c>
      <c r="AD21" s="161">
        <f>IF($L$2="",0,IFERROR(VLOOKUP(M21,'Medios humanos'!$B$56:$C$59,2,FALSE)*'Resumen global'!$G$20,0))</f>
        <v>0</v>
      </c>
      <c r="AE21" s="161">
        <f>IF($N$2="",0,IFERROR(VLOOKUP(N21,'Medios humanos'!$B$49:$C$53,2,FALSE)*'Resumen global'!$G$21,0))</f>
        <v>0</v>
      </c>
      <c r="AF21" s="161">
        <f>IF($N$2="",0,IFERROR(VLOOKUP(O21,'Medios humanos'!$B$56:$C$59,2,FALSE)*'Resumen global'!$G$21,0))</f>
        <v>0</v>
      </c>
      <c r="AG21" s="161">
        <f>IF($P$2="",0,IFERROR(VLOOKUP(P21,'Medios humanos'!$B$49:$C$53,2,FALSE)*'Resumen global'!$G$22,0))</f>
        <v>0</v>
      </c>
      <c r="AH21" s="161">
        <f>IF($P$2="",0,IFERROR(VLOOKUP(Q21,'Medios humanos'!$B$56:$C$59,2,FALSE)*'Resumen global'!$G$22,0))</f>
        <v>0</v>
      </c>
      <c r="AI21" s="161">
        <f>IF($R$2="",0,IFERROR(VLOOKUP(R21,'Medios humanos'!$B$49:$C$53,2,FALSE)*'Resumen global'!$G$23,0))</f>
        <v>0</v>
      </c>
      <c r="AJ21" s="161">
        <f>IF($R$2="",0,IFERROR(VLOOKUP(S21,'Medios humanos'!$B$56:$C$59,2,FALSE)*'Resumen global'!$G$23,0))</f>
        <v>0</v>
      </c>
      <c r="AK21" s="160">
        <f t="shared" si="3"/>
        <v>0</v>
      </c>
      <c r="AL21" s="161">
        <f>IFERROR((X21*'Resumen global'!$K$20+AB21*'Resumen global'!$K$21+AK21*'Resumen global'!$K$22)*10/5,0)</f>
        <v>0</v>
      </c>
      <c r="AM21" s="161">
        <f t="shared" si="0"/>
        <v>0</v>
      </c>
      <c r="AN21" s="161">
        <f t="shared" si="4"/>
        <v>0</v>
      </c>
    </row>
    <row r="22" spans="1:40" ht="14.4" hidden="1" x14ac:dyDescent="0.3">
      <c r="A22" s="40"/>
      <c r="B22" s="40"/>
      <c r="C22" s="57">
        <f>IFERROR(VLOOKUP(B22,'Resumen global'!$E$33:$F$39,2,FALSE),0)</f>
        <v>0</v>
      </c>
      <c r="D22" s="158"/>
      <c r="E22" s="159"/>
      <c r="F22" s="159"/>
      <c r="G22" s="159"/>
      <c r="H22" s="159"/>
      <c r="I22" s="159"/>
      <c r="J22" s="159"/>
      <c r="K22" s="159"/>
      <c r="L22" s="159"/>
      <c r="M22" s="159"/>
      <c r="N22" s="159"/>
      <c r="O22" s="159"/>
      <c r="P22" s="159"/>
      <c r="Q22" s="159"/>
      <c r="R22" s="159"/>
      <c r="S22" s="159"/>
      <c r="T22" s="161">
        <f>IFERROR(VLOOKUP(E22,'Medios humanos'!$B$3:$C$7,2,FALSE),0)</f>
        <v>0</v>
      </c>
      <c r="U22" s="161">
        <f>IFERROR(VLOOKUP(F22,'Medios humanos'!$B$10:$C$13,2,FALSE),0)</f>
        <v>0</v>
      </c>
      <c r="V22" s="161">
        <f>IFERROR(VLOOKUP(G22,'Medios humanos'!$B$16:$C$20,2,FALSE),0)</f>
        <v>0</v>
      </c>
      <c r="W22" s="161">
        <f>IFERROR(VLOOKUP(H22,'Medios humanos'!$B$23:$C$25,2,FALSE),0)</f>
        <v>0</v>
      </c>
      <c r="X22" s="160">
        <f t="shared" si="1"/>
        <v>0</v>
      </c>
      <c r="Y22" s="160">
        <f>IF($I$2="",0,IFERROR(VLOOKUP(I22,'Medios humanos'!$B$28:$C$29,2,FALSE),0))</f>
        <v>0</v>
      </c>
      <c r="Z22" s="160">
        <f>IF($J$2="",0,IFERROR(VLOOKUP(J22,'Medios humanos'!$B$35:$C$39,2,FALSE),0))</f>
        <v>0</v>
      </c>
      <c r="AA22" s="160">
        <f>IF($K$2="",0,IFERROR(VLOOKUP(K22,'Medios humanos'!$B$42:$C$46,2,FALSE),0))</f>
        <v>0</v>
      </c>
      <c r="AB22" s="160">
        <f t="shared" si="2"/>
        <v>0</v>
      </c>
      <c r="AC22" s="161">
        <f>IF($L$2="",0,IFERROR(VLOOKUP(L22,'Medios humanos'!$B$49:$C$53,2,FALSE)*'Resumen global'!$G$20,0))</f>
        <v>0</v>
      </c>
      <c r="AD22" s="161">
        <f>IF($L$2="",0,IFERROR(VLOOKUP(M22,'Medios humanos'!$B$56:$C$59,2,FALSE)*'Resumen global'!$G$20,0))</f>
        <v>0</v>
      </c>
      <c r="AE22" s="161">
        <f>IF($N$2="",0,IFERROR(VLOOKUP(N22,'Medios humanos'!$B$49:$C$53,2,FALSE)*'Resumen global'!$G$21,0))</f>
        <v>0</v>
      </c>
      <c r="AF22" s="161">
        <f>IF($N$2="",0,IFERROR(VLOOKUP(O22,'Medios humanos'!$B$56:$C$59,2,FALSE)*'Resumen global'!$G$21,0))</f>
        <v>0</v>
      </c>
      <c r="AG22" s="161">
        <f>IF($P$2="",0,IFERROR(VLOOKUP(P22,'Medios humanos'!$B$49:$C$53,2,FALSE)*'Resumen global'!$G$22,0))</f>
        <v>0</v>
      </c>
      <c r="AH22" s="161">
        <f>IF($P$2="",0,IFERROR(VLOOKUP(Q22,'Medios humanos'!$B$56:$C$59,2,FALSE)*'Resumen global'!$G$22,0))</f>
        <v>0</v>
      </c>
      <c r="AI22" s="161">
        <f>IF($R$2="",0,IFERROR(VLOOKUP(R22,'Medios humanos'!$B$49:$C$53,2,FALSE)*'Resumen global'!$G$23,0))</f>
        <v>0</v>
      </c>
      <c r="AJ22" s="161">
        <f>IF($R$2="",0,IFERROR(VLOOKUP(S22,'Medios humanos'!$B$56:$C$59,2,FALSE)*'Resumen global'!$G$23,0))</f>
        <v>0</v>
      </c>
      <c r="AK22" s="160">
        <f t="shared" si="3"/>
        <v>0</v>
      </c>
      <c r="AL22" s="161">
        <f>IFERROR((X22*'Resumen global'!$K$20+AB22*'Resumen global'!$K$21+AK22*'Resumen global'!$K$22)*10/5,0)</f>
        <v>0</v>
      </c>
      <c r="AM22" s="161">
        <f t="shared" si="0"/>
        <v>0</v>
      </c>
      <c r="AN22" s="161">
        <f t="shared" si="4"/>
        <v>0</v>
      </c>
    </row>
    <row r="23" spans="1:40" ht="14.4" hidden="1" x14ac:dyDescent="0.3">
      <c r="A23" s="40"/>
      <c r="B23" s="40"/>
      <c r="C23" s="57">
        <f>IFERROR(VLOOKUP(B23,'Resumen global'!$E$33:$F$39,2,FALSE),0)</f>
        <v>0</v>
      </c>
      <c r="D23" s="158"/>
      <c r="E23" s="159"/>
      <c r="F23" s="159"/>
      <c r="G23" s="159"/>
      <c r="H23" s="159"/>
      <c r="I23" s="159"/>
      <c r="J23" s="159"/>
      <c r="K23" s="159"/>
      <c r="L23" s="159"/>
      <c r="M23" s="159"/>
      <c r="N23" s="159"/>
      <c r="O23" s="159"/>
      <c r="P23" s="159"/>
      <c r="Q23" s="159"/>
      <c r="R23" s="159"/>
      <c r="S23" s="159"/>
      <c r="T23" s="161">
        <f>IFERROR(VLOOKUP(E23,'Medios humanos'!$B$3:$C$7,2,FALSE),0)</f>
        <v>0</v>
      </c>
      <c r="U23" s="161">
        <f>IFERROR(VLOOKUP(F23,'Medios humanos'!$B$10:$C$13,2,FALSE),0)</f>
        <v>0</v>
      </c>
      <c r="V23" s="161">
        <f>IFERROR(VLOOKUP(G23,'Medios humanos'!$B$16:$C$20,2,FALSE),0)</f>
        <v>0</v>
      </c>
      <c r="W23" s="161">
        <f>IFERROR(VLOOKUP(H23,'Medios humanos'!$B$23:$C$25,2,FALSE),0)</f>
        <v>0</v>
      </c>
      <c r="X23" s="160">
        <f t="shared" si="1"/>
        <v>0</v>
      </c>
      <c r="Y23" s="160">
        <f>IF($I$2="",0,IFERROR(VLOOKUP(I23,'Medios humanos'!$B$28:$C$29,2,FALSE),0))</f>
        <v>0</v>
      </c>
      <c r="Z23" s="160">
        <f>IF($J$2="",0,IFERROR(VLOOKUP(J23,'Medios humanos'!$B$35:$C$39,2,FALSE),0))</f>
        <v>0</v>
      </c>
      <c r="AA23" s="160">
        <f>IF($K$2="",0,IFERROR(VLOOKUP(K23,'Medios humanos'!$B$42:$C$46,2,FALSE),0))</f>
        <v>0</v>
      </c>
      <c r="AB23" s="160">
        <f t="shared" si="2"/>
        <v>0</v>
      </c>
      <c r="AC23" s="161">
        <f>IF($L$2="",0,IFERROR(VLOOKUP(L23,'Medios humanos'!$B$49:$C$53,2,FALSE)*'Resumen global'!$G$20,0))</f>
        <v>0</v>
      </c>
      <c r="AD23" s="161">
        <f>IF($L$2="",0,IFERROR(VLOOKUP(M23,'Medios humanos'!$B$56:$C$59,2,FALSE)*'Resumen global'!$G$20,0))</f>
        <v>0</v>
      </c>
      <c r="AE23" s="161">
        <f>IF($N$2="",0,IFERROR(VLOOKUP(N23,'Medios humanos'!$B$49:$C$53,2,FALSE)*'Resumen global'!$G$21,0))</f>
        <v>0</v>
      </c>
      <c r="AF23" s="161">
        <f>IF($N$2="",0,IFERROR(VLOOKUP(O23,'Medios humanos'!$B$56:$C$59,2,FALSE)*'Resumen global'!$G$21,0))</f>
        <v>0</v>
      </c>
      <c r="AG23" s="161">
        <f>IF($P$2="",0,IFERROR(VLOOKUP(P23,'Medios humanos'!$B$49:$C$53,2,FALSE)*'Resumen global'!$G$22,0))</f>
        <v>0</v>
      </c>
      <c r="AH23" s="161">
        <f>IF($P$2="",0,IFERROR(VLOOKUP(Q23,'Medios humanos'!$B$56:$C$59,2,FALSE)*'Resumen global'!$G$22,0))</f>
        <v>0</v>
      </c>
      <c r="AI23" s="161">
        <f>IF($R$2="",0,IFERROR(VLOOKUP(R23,'Medios humanos'!$B$49:$C$53,2,FALSE)*'Resumen global'!$G$23,0))</f>
        <v>0</v>
      </c>
      <c r="AJ23" s="161">
        <f>IF($R$2="",0,IFERROR(VLOOKUP(S23,'Medios humanos'!$B$56:$C$59,2,FALSE)*'Resumen global'!$G$23,0))</f>
        <v>0</v>
      </c>
      <c r="AK23" s="160">
        <f t="shared" si="3"/>
        <v>0</v>
      </c>
      <c r="AL23" s="161">
        <f>IFERROR((X23*'Resumen global'!$K$20+AB23*'Resumen global'!$K$21+AK23*'Resumen global'!$K$22)*10/5,0)</f>
        <v>0</v>
      </c>
      <c r="AM23" s="161">
        <f t="shared" si="0"/>
        <v>0</v>
      </c>
      <c r="AN23" s="161">
        <f t="shared" si="4"/>
        <v>0</v>
      </c>
    </row>
    <row r="24" spans="1:40" ht="14.4" hidden="1" x14ac:dyDescent="0.3">
      <c r="A24" s="40"/>
      <c r="B24" s="40"/>
      <c r="C24" s="57">
        <f>IFERROR(VLOOKUP(B24,'Resumen global'!$E$33:$F$39,2,FALSE),0)</f>
        <v>0</v>
      </c>
      <c r="D24" s="158"/>
      <c r="E24" s="159"/>
      <c r="F24" s="159"/>
      <c r="G24" s="159"/>
      <c r="H24" s="159"/>
      <c r="I24" s="159"/>
      <c r="J24" s="159"/>
      <c r="K24" s="159"/>
      <c r="L24" s="159"/>
      <c r="M24" s="159"/>
      <c r="N24" s="159"/>
      <c r="O24" s="159"/>
      <c r="P24" s="159"/>
      <c r="Q24" s="159"/>
      <c r="R24" s="159"/>
      <c r="S24" s="159"/>
      <c r="T24" s="161">
        <f>IFERROR(VLOOKUP(E24,'Medios humanos'!$B$3:$C$7,2,FALSE),0)</f>
        <v>0</v>
      </c>
      <c r="U24" s="161">
        <f>IFERROR(VLOOKUP(F24,'Medios humanos'!$B$10:$C$13,2,FALSE),0)</f>
        <v>0</v>
      </c>
      <c r="V24" s="161">
        <f>IFERROR(VLOOKUP(G24,'Medios humanos'!$B$16:$C$20,2,FALSE),0)</f>
        <v>0</v>
      </c>
      <c r="W24" s="161">
        <f>IFERROR(VLOOKUP(H24,'Medios humanos'!$B$23:$C$25,2,FALSE),0)</f>
        <v>0</v>
      </c>
      <c r="X24" s="160">
        <f t="shared" si="1"/>
        <v>0</v>
      </c>
      <c r="Y24" s="160">
        <f>IF($I$2="",0,IFERROR(VLOOKUP(I24,'Medios humanos'!$B$28:$C$29,2,FALSE),0))</f>
        <v>0</v>
      </c>
      <c r="Z24" s="160">
        <f>IF($J$2="",0,IFERROR(VLOOKUP(J24,'Medios humanos'!$B$35:$C$39,2,FALSE),0))</f>
        <v>0</v>
      </c>
      <c r="AA24" s="160">
        <f>IF($K$2="",0,IFERROR(VLOOKUP(K24,'Medios humanos'!$B$42:$C$46,2,FALSE),0))</f>
        <v>0</v>
      </c>
      <c r="AB24" s="160">
        <f t="shared" si="2"/>
        <v>0</v>
      </c>
      <c r="AC24" s="161">
        <f>IF($L$2="",0,IFERROR(VLOOKUP(L24,'Medios humanos'!$B$49:$C$53,2,FALSE)*'Resumen global'!$G$20,0))</f>
        <v>0</v>
      </c>
      <c r="AD24" s="161">
        <f>IF($L$2="",0,IFERROR(VLOOKUP(M24,'Medios humanos'!$B$56:$C$59,2,FALSE)*'Resumen global'!$G$20,0))</f>
        <v>0</v>
      </c>
      <c r="AE24" s="161">
        <f>IF($N$2="",0,IFERROR(VLOOKUP(N24,'Medios humanos'!$B$49:$C$53,2,FALSE)*'Resumen global'!$G$21,0))</f>
        <v>0</v>
      </c>
      <c r="AF24" s="161">
        <f>IF($N$2="",0,IFERROR(VLOOKUP(O24,'Medios humanos'!$B$56:$C$59,2,FALSE)*'Resumen global'!$G$21,0))</f>
        <v>0</v>
      </c>
      <c r="AG24" s="161">
        <f>IF($P$2="",0,IFERROR(VLOOKUP(P24,'Medios humanos'!$B$49:$C$53,2,FALSE)*'Resumen global'!$G$22,0))</f>
        <v>0</v>
      </c>
      <c r="AH24" s="161">
        <f>IF($P$2="",0,IFERROR(VLOOKUP(Q24,'Medios humanos'!$B$56:$C$59,2,FALSE)*'Resumen global'!$G$22,0))</f>
        <v>0</v>
      </c>
      <c r="AI24" s="161">
        <f>IF($R$2="",0,IFERROR(VLOOKUP(R24,'Medios humanos'!$B$49:$C$53,2,FALSE)*'Resumen global'!$G$23,0))</f>
        <v>0</v>
      </c>
      <c r="AJ24" s="161">
        <f>IF($R$2="",0,IFERROR(VLOOKUP(S24,'Medios humanos'!$B$56:$C$59,2,FALSE)*'Resumen global'!$G$23,0))</f>
        <v>0</v>
      </c>
      <c r="AK24" s="160">
        <f t="shared" si="3"/>
        <v>0</v>
      </c>
      <c r="AL24" s="161">
        <f>IFERROR((X24*'Resumen global'!$K$20+AB24*'Resumen global'!$K$21+AK24*'Resumen global'!$K$22)*10/5,0)</f>
        <v>0</v>
      </c>
      <c r="AM24" s="161">
        <f t="shared" si="0"/>
        <v>0</v>
      </c>
      <c r="AN24" s="161">
        <f t="shared" si="4"/>
        <v>0</v>
      </c>
    </row>
    <row r="25" spans="1:40" hidden="1" x14ac:dyDescent="0.3"/>
    <row r="27" spans="1:40" ht="14.4" x14ac:dyDescent="0.3">
      <c r="A27" s="3" t="s">
        <v>337</v>
      </c>
      <c r="B27" s="162">
        <f>G37</f>
        <v>0</v>
      </c>
      <c r="C27" t="s">
        <v>338</v>
      </c>
    </row>
    <row r="29" spans="1:40" ht="28.8" x14ac:dyDescent="0.3">
      <c r="A29" s="3" t="s">
        <v>207</v>
      </c>
      <c r="B29" s="3" t="s">
        <v>339</v>
      </c>
      <c r="C29" s="3" t="s">
        <v>70</v>
      </c>
      <c r="D29" s="3" t="s">
        <v>89</v>
      </c>
      <c r="E29" s="3" t="str">
        <f>IF('Resumen global'!$E$7="Horas","Número de horas (total técnicos) Vigencia inicial","Número de horas")</f>
        <v>Número de horas</v>
      </c>
      <c r="G29" s="3" t="s">
        <v>340</v>
      </c>
    </row>
    <row r="30" spans="1:40" ht="14.4" x14ac:dyDescent="0.3">
      <c r="A30" s="2" t="str">
        <f>IF('Resumen global'!E33&lt;&gt;"",'Resumen global'!E33,"")</f>
        <v>Técnico/a de desarrollo B</v>
      </c>
      <c r="B30" s="40">
        <v>30.5</v>
      </c>
      <c r="C30" s="57">
        <f>+'Resumen global'!H33</f>
        <v>1</v>
      </c>
      <c r="D30" s="58">
        <f>IFERROR(B30*C30,"")</f>
        <v>30.5</v>
      </c>
      <c r="E30" s="181">
        <v>0</v>
      </c>
      <c r="G30" s="58">
        <f>IFERROR(B30*E30,"")</f>
        <v>0</v>
      </c>
    </row>
    <row r="31" spans="1:40" ht="14.4" x14ac:dyDescent="0.3">
      <c r="A31" s="2" t="str">
        <f>IF('Resumen global'!E34&lt;&gt;"",'Resumen global'!E34,"")</f>
        <v/>
      </c>
      <c r="B31" s="40"/>
      <c r="C31" s="57" t="str">
        <f>+'Resumen global'!H34</f>
        <v/>
      </c>
      <c r="D31" s="58" t="str">
        <f t="shared" ref="D31:D36" si="5">IFERROR(B31*C31,"")</f>
        <v/>
      </c>
      <c r="E31" s="181" t="str">
        <f>IF('Resumen global'!$E$7="Horas",'Resumen global'!K34,"")</f>
        <v/>
      </c>
      <c r="G31" s="58" t="str">
        <f t="shared" ref="G31:G36" si="6">IFERROR(B31*E31,"")</f>
        <v/>
      </c>
    </row>
    <row r="32" spans="1:40" ht="14.4" x14ac:dyDescent="0.3">
      <c r="A32" s="2" t="str">
        <f>IF('Resumen global'!E35&lt;&gt;"",'Resumen global'!E35,"")</f>
        <v/>
      </c>
      <c r="B32" s="40"/>
      <c r="C32" s="57" t="str">
        <f>+'Resumen global'!H35</f>
        <v/>
      </c>
      <c r="D32" s="58" t="str">
        <f t="shared" si="5"/>
        <v/>
      </c>
      <c r="E32" s="181" t="str">
        <f>IF('Resumen global'!$E$7="Horas",'Resumen global'!K35,"")</f>
        <v/>
      </c>
      <c r="G32" s="58" t="str">
        <f t="shared" si="6"/>
        <v/>
      </c>
    </row>
    <row r="33" spans="1:7" ht="14.4" x14ac:dyDescent="0.3">
      <c r="A33" s="2" t="str">
        <f>IF('Resumen global'!E36&lt;&gt;"",'Resumen global'!E36,"")</f>
        <v/>
      </c>
      <c r="B33" s="40"/>
      <c r="C33" s="57" t="str">
        <f>+'Resumen global'!H36</f>
        <v/>
      </c>
      <c r="D33" s="58" t="str">
        <f t="shared" si="5"/>
        <v/>
      </c>
      <c r="E33" s="181" t="str">
        <f>IF('Resumen global'!$E$7="Horas",'Resumen global'!K36,"")</f>
        <v/>
      </c>
      <c r="G33" s="58" t="str">
        <f t="shared" si="6"/>
        <v/>
      </c>
    </row>
    <row r="34" spans="1:7" ht="14.4" x14ac:dyDescent="0.3">
      <c r="A34" s="2" t="str">
        <f>IF('Resumen global'!E37&lt;&gt;"",'Resumen global'!E37,"")</f>
        <v/>
      </c>
      <c r="B34" s="40"/>
      <c r="C34" s="57" t="str">
        <f>+'Resumen global'!H37</f>
        <v/>
      </c>
      <c r="D34" s="58" t="str">
        <f t="shared" si="5"/>
        <v/>
      </c>
      <c r="E34" s="181" t="str">
        <f>IF('Resumen global'!$E$7="Horas",'Resumen global'!K37,"")</f>
        <v/>
      </c>
      <c r="G34" s="58" t="str">
        <f t="shared" si="6"/>
        <v/>
      </c>
    </row>
    <row r="35" spans="1:7" ht="14.4" x14ac:dyDescent="0.3">
      <c r="A35" s="2" t="str">
        <f>IF('Resumen global'!E38&lt;&gt;"",'Resumen global'!E38,"")</f>
        <v/>
      </c>
      <c r="B35" s="40"/>
      <c r="C35" s="57" t="str">
        <f>+'Resumen global'!H38</f>
        <v/>
      </c>
      <c r="D35" s="58" t="str">
        <f t="shared" si="5"/>
        <v/>
      </c>
      <c r="E35" s="181" t="str">
        <f>IF('Resumen global'!$E$7="Horas",'Resumen global'!K38,"")</f>
        <v/>
      </c>
      <c r="G35" s="58" t="str">
        <f t="shared" si="6"/>
        <v/>
      </c>
    </row>
    <row r="36" spans="1:7" ht="14.4" x14ac:dyDescent="0.3">
      <c r="A36" s="2" t="str">
        <f>IF('Resumen global'!E39&lt;&gt;"",'Resumen global'!E39,"")</f>
        <v/>
      </c>
      <c r="B36" s="40"/>
      <c r="C36" s="57" t="str">
        <f>+'Resumen global'!H39</f>
        <v/>
      </c>
      <c r="D36" s="58" t="str">
        <f t="shared" si="5"/>
        <v/>
      </c>
      <c r="E36" s="181" t="str">
        <f>IF('Resumen global'!$E$7="Horas",'Resumen global'!K39,"")</f>
        <v/>
      </c>
      <c r="G36" s="58" t="str">
        <f t="shared" si="6"/>
        <v/>
      </c>
    </row>
    <row r="37" spans="1:7" ht="14.4" x14ac:dyDescent="0.3">
      <c r="D37" s="53">
        <f>SUM(D30:D36)</f>
        <v>30.5</v>
      </c>
      <c r="E37" s="52">
        <f>SUM(E30:E36)</f>
        <v>0</v>
      </c>
      <c r="G37" s="53">
        <f>SUM(G30:G36)</f>
        <v>0</v>
      </c>
    </row>
    <row r="38" spans="1:7" x14ac:dyDescent="0.3">
      <c r="A38" s="201" t="str">
        <f>IF('Resumen global'!$E$7="Horas","Las horas indicadas en la columna E no pueden ser diferentes al número de horas indicado en la hoja 'Resumen global'","")</f>
        <v/>
      </c>
    </row>
    <row r="39" spans="1:7" ht="14.4" x14ac:dyDescent="0.3">
      <c r="A39" s="273" t="s">
        <v>341</v>
      </c>
      <c r="B39" s="274"/>
      <c r="C39" s="274"/>
      <c r="D39" s="274"/>
      <c r="E39" s="274"/>
      <c r="F39" s="274"/>
      <c r="G39" s="274"/>
    </row>
    <row r="40" spans="1:7" ht="89.25" customHeight="1" x14ac:dyDescent="0.3">
      <c r="A40" s="275" t="str">
        <f>IF('Resumen global'!C42&lt;&gt;"",'Resumen global'!C42,"")</f>
        <v>1 TDB</v>
      </c>
      <c r="B40" s="276"/>
      <c r="C40" s="276"/>
      <c r="D40" s="276"/>
      <c r="E40" s="276"/>
      <c r="F40" s="276"/>
      <c r="G40" s="277"/>
    </row>
  </sheetData>
  <sheetProtection algorithmName="SHA-512" hashValue="9ujVi/C6FuTFQWcQTTbcWzQqH3WGOoqgysF5ZT0uJY6Qlk95qLh1UmPUgeqdtm/ppOQz4Oqoy3fB+T+YPKsuFw==" saltValue="6ZtuwXVc6o70UCjGxmzwhg==" spinCount="100000" sheet="1" selectLockedCells="1"/>
  <mergeCells count="26">
    <mergeCell ref="A39:G39"/>
    <mergeCell ref="A40:G40"/>
    <mergeCell ref="AK1:AK3"/>
    <mergeCell ref="AL1:AL3"/>
    <mergeCell ref="AM1:AM3"/>
    <mergeCell ref="A1:A3"/>
    <mergeCell ref="B1:B3"/>
    <mergeCell ref="C1:C3"/>
    <mergeCell ref="D1:D3"/>
    <mergeCell ref="E1:H2"/>
    <mergeCell ref="I1:K1"/>
    <mergeCell ref="AN1:AN2"/>
    <mergeCell ref="L2:M2"/>
    <mergeCell ref="N2:O2"/>
    <mergeCell ref="P2:Q2"/>
    <mergeCell ref="R2:S2"/>
    <mergeCell ref="AC2:AD2"/>
    <mergeCell ref="AE2:AF2"/>
    <mergeCell ref="L1:S1"/>
    <mergeCell ref="T1:W2"/>
    <mergeCell ref="X1:X3"/>
    <mergeCell ref="Y1:AA2"/>
    <mergeCell ref="AB1:AB3"/>
    <mergeCell ref="AC1:AJ1"/>
    <mergeCell ref="AG2:AH2"/>
    <mergeCell ref="AI2:AJ2"/>
  </mergeCells>
  <dataValidations disablePrompts="1" count="1">
    <dataValidation type="list" allowBlank="1" showInputMessage="1" showErrorMessage="1" sqref="B4:B24" xr:uid="{087B8720-36B1-4847-92A8-C9F78843BA62}">
      <formula1>perfiles</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97A3CA17-96E5-4628-A391-5EBED5C2B52A}">
          <x14:formula1>
            <xm:f>'Medios humanos'!$B$3:$B$7</xm:f>
          </x14:formula1>
          <xm:sqref>E4:E24</xm:sqref>
        </x14:dataValidation>
        <x14:dataValidation type="list" allowBlank="1" showInputMessage="1" showErrorMessage="1" xr:uid="{5F7D7E3F-8393-4A51-A1B8-E9F922E5C06A}">
          <x14:formula1>
            <xm:f>'Medios humanos'!$B$16:$B$20</xm:f>
          </x14:formula1>
          <xm:sqref>G4:G24</xm:sqref>
        </x14:dataValidation>
        <x14:dataValidation type="list" allowBlank="1" showInputMessage="1" showErrorMessage="1" xr:uid="{0E6F8B0A-B12D-41B9-AEC1-E38AA8F3CA97}">
          <x14:formula1>
            <xm:f>'Medios humanos'!$B$28:$B$32</xm:f>
          </x14:formula1>
          <xm:sqref>I4:I24</xm:sqref>
        </x14:dataValidation>
        <x14:dataValidation type="list" allowBlank="1" showInputMessage="1" showErrorMessage="1" xr:uid="{41E667C0-D5B1-41F3-8D25-E047FF144EC4}">
          <x14:formula1>
            <xm:f>'Medios humanos'!$B$35:$B$39</xm:f>
          </x14:formula1>
          <xm:sqref>J4:J24</xm:sqref>
        </x14:dataValidation>
        <x14:dataValidation type="list" allowBlank="1" showInputMessage="1" showErrorMessage="1" xr:uid="{F5BD9404-038C-466A-AE69-E68F661183B5}">
          <x14:formula1>
            <xm:f>'Medios humanos'!$B$42:$B$46</xm:f>
          </x14:formula1>
          <xm:sqref>K4:K24</xm:sqref>
        </x14:dataValidation>
        <x14:dataValidation type="list" allowBlank="1" showInputMessage="1" showErrorMessage="1" xr:uid="{2F35168A-E273-44D2-A678-68B02CC9614E}">
          <x14:formula1>
            <xm:f>'Medios humanos'!$B$49:$B$53</xm:f>
          </x14:formula1>
          <xm:sqref>L4:L24 N4:N24 P4:P24 R4:R24</xm:sqref>
        </x14:dataValidation>
        <x14:dataValidation type="list" allowBlank="1" showInputMessage="1" showErrorMessage="1" xr:uid="{A9E1F57C-DF6C-4530-8874-E0734EF4FB27}">
          <x14:formula1>
            <xm:f>'Medios humanos'!$B$56:$B$59</xm:f>
          </x14:formula1>
          <xm:sqref>M4:M24 O4:O24 Q4:Q24 S4:S24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2C223-E44F-4621-8D7F-87639D0FD958}">
  <sheetPr codeName="Hoja5"/>
  <dimension ref="A1:L73"/>
  <sheetViews>
    <sheetView showGridLines="0" topLeftCell="A15" workbookViewId="0">
      <selection activeCell="F43" sqref="F43"/>
    </sheetView>
  </sheetViews>
  <sheetFormatPr baseColWidth="10" defaultColWidth="11.44140625" defaultRowHeight="18" customHeight="1" x14ac:dyDescent="0.3"/>
  <cols>
    <col min="1" max="1" width="6.5546875" customWidth="1"/>
    <col min="2" max="2" width="82.88671875" customWidth="1"/>
    <col min="3" max="3" width="16.33203125" customWidth="1"/>
    <col min="6" max="6" width="24.6640625" bestFit="1" customWidth="1"/>
    <col min="7" max="7" width="27.88671875" customWidth="1"/>
    <col min="8" max="10" width="24.6640625" bestFit="1" customWidth="1"/>
    <col min="11" max="11" width="22.44140625" customWidth="1"/>
    <col min="12" max="12" width="17" customWidth="1"/>
  </cols>
  <sheetData>
    <row r="1" spans="1:10" ht="18" customHeight="1" x14ac:dyDescent="0.3">
      <c r="A1" s="7"/>
      <c r="C1" s="8"/>
    </row>
    <row r="2" spans="1:10" ht="18" customHeight="1" x14ac:dyDescent="0.3">
      <c r="B2" s="30" t="s">
        <v>342</v>
      </c>
      <c r="C2" s="31" t="s">
        <v>343</v>
      </c>
      <c r="F2" s="257" t="s">
        <v>344</v>
      </c>
      <c r="G2" s="257"/>
      <c r="H2" s="257"/>
      <c r="I2" s="257"/>
      <c r="J2" s="257"/>
    </row>
    <row r="3" spans="1:10" ht="18" customHeight="1" x14ac:dyDescent="0.3">
      <c r="A3" s="8"/>
      <c r="B3" s="2" t="s">
        <v>345</v>
      </c>
      <c r="C3" s="5">
        <v>3.5</v>
      </c>
      <c r="F3" s="2" t="s">
        <v>249</v>
      </c>
      <c r="G3" s="2" t="s">
        <v>250</v>
      </c>
      <c r="H3" s="2" t="s">
        <v>251</v>
      </c>
      <c r="I3" s="2" t="s">
        <v>252</v>
      </c>
      <c r="J3" s="2" t="s">
        <v>253</v>
      </c>
    </row>
    <row r="4" spans="1:10" ht="18" customHeight="1" x14ac:dyDescent="0.3">
      <c r="A4" s="8"/>
      <c r="B4" s="2" t="s">
        <v>346</v>
      </c>
      <c r="C4" s="5">
        <v>3</v>
      </c>
      <c r="F4" s="5" t="s">
        <v>210</v>
      </c>
      <c r="G4" s="5" t="s">
        <v>210</v>
      </c>
      <c r="H4" s="5" t="s">
        <v>210</v>
      </c>
      <c r="I4" s="5" t="s">
        <v>210</v>
      </c>
      <c r="J4" s="5" t="s">
        <v>210</v>
      </c>
    </row>
    <row r="5" spans="1:10" ht="18" customHeight="1" x14ac:dyDescent="0.3">
      <c r="A5" s="8"/>
      <c r="B5" s="2" t="s">
        <v>347</v>
      </c>
      <c r="C5" s="5">
        <v>2.5</v>
      </c>
      <c r="F5" s="5" t="s">
        <v>212</v>
      </c>
      <c r="G5" s="5" t="s">
        <v>212</v>
      </c>
      <c r="H5" s="5" t="s">
        <v>220</v>
      </c>
      <c r="I5" s="5" t="s">
        <v>228</v>
      </c>
      <c r="J5" s="5" t="s">
        <v>216</v>
      </c>
    </row>
    <row r="6" spans="1:10" ht="18" customHeight="1" x14ac:dyDescent="0.3">
      <c r="A6" s="8"/>
      <c r="B6" s="2" t="s">
        <v>348</v>
      </c>
      <c r="C6" s="5">
        <v>1.5</v>
      </c>
      <c r="F6" s="5" t="s">
        <v>214</v>
      </c>
      <c r="G6" s="5" t="s">
        <v>214</v>
      </c>
      <c r="H6" s="5" t="s">
        <v>228</v>
      </c>
      <c r="I6" s="5"/>
      <c r="J6" s="5" t="s">
        <v>222</v>
      </c>
    </row>
    <row r="7" spans="1:10" ht="18" customHeight="1" x14ac:dyDescent="0.3">
      <c r="A7" s="8"/>
      <c r="B7" s="2" t="s">
        <v>349</v>
      </c>
      <c r="C7" s="5">
        <v>0</v>
      </c>
      <c r="F7" s="5" t="s">
        <v>218</v>
      </c>
      <c r="G7" s="5" t="s">
        <v>218</v>
      </c>
      <c r="H7" s="5"/>
      <c r="I7" s="5"/>
      <c r="J7" s="5" t="s">
        <v>230</v>
      </c>
    </row>
    <row r="8" spans="1:10" ht="18" customHeight="1" x14ac:dyDescent="0.3">
      <c r="A8" s="9"/>
      <c r="B8" s="29" t="s">
        <v>160</v>
      </c>
      <c r="C8" s="12">
        <f>MAX(C3:C7)</f>
        <v>3.5</v>
      </c>
      <c r="F8" s="5" t="s">
        <v>226</v>
      </c>
      <c r="G8" s="5" t="s">
        <v>226</v>
      </c>
      <c r="H8" s="5"/>
      <c r="I8" s="5"/>
      <c r="J8" s="5"/>
    </row>
    <row r="9" spans="1:10" ht="18" customHeight="1" x14ac:dyDescent="0.3">
      <c r="B9" s="30" t="s">
        <v>350</v>
      </c>
      <c r="C9" s="31" t="s">
        <v>343</v>
      </c>
      <c r="F9" s="5" t="s">
        <v>224</v>
      </c>
      <c r="G9" s="5" t="s">
        <v>224</v>
      </c>
      <c r="H9" s="5"/>
      <c r="I9" s="5"/>
      <c r="J9" s="5"/>
    </row>
    <row r="10" spans="1:10" ht="18" customHeight="1" x14ac:dyDescent="0.3">
      <c r="A10" s="8"/>
      <c r="B10" s="2" t="s">
        <v>351</v>
      </c>
      <c r="C10" s="5">
        <v>0</v>
      </c>
      <c r="F10" s="5" t="s">
        <v>232</v>
      </c>
      <c r="G10" s="5" t="s">
        <v>232</v>
      </c>
      <c r="H10" s="5"/>
      <c r="I10" s="5"/>
      <c r="J10" s="5"/>
    </row>
    <row r="11" spans="1:10" ht="18" customHeight="1" x14ac:dyDescent="0.3">
      <c r="A11" s="8"/>
      <c r="B11" s="2" t="s">
        <v>352</v>
      </c>
      <c r="C11" s="5">
        <v>0</v>
      </c>
    </row>
    <row r="12" spans="1:10" ht="18" customHeight="1" x14ac:dyDescent="0.3">
      <c r="A12" s="8"/>
      <c r="B12" s="2" t="s">
        <v>353</v>
      </c>
      <c r="C12" s="5">
        <v>0</v>
      </c>
    </row>
    <row r="13" spans="1:10" ht="18" customHeight="1" x14ac:dyDescent="0.3">
      <c r="A13" s="1"/>
      <c r="B13" s="2" t="s">
        <v>354</v>
      </c>
      <c r="C13" s="5">
        <v>0</v>
      </c>
      <c r="F13" s="257" t="s">
        <v>355</v>
      </c>
      <c r="G13" s="257"/>
      <c r="H13" s="257"/>
      <c r="I13" s="257"/>
      <c r="J13" s="257"/>
    </row>
    <row r="14" spans="1:10" ht="18" customHeight="1" x14ac:dyDescent="0.3">
      <c r="A14" s="8"/>
      <c r="B14" s="29" t="s">
        <v>160</v>
      </c>
      <c r="C14" s="12">
        <f>MAX(C9:C13)</f>
        <v>0</v>
      </c>
      <c r="F14" s="2">
        <v>1</v>
      </c>
      <c r="G14" s="2">
        <v>2</v>
      </c>
      <c r="H14" s="2">
        <v>3</v>
      </c>
      <c r="I14" s="2">
        <v>4</v>
      </c>
      <c r="J14" s="2">
        <v>5</v>
      </c>
    </row>
    <row r="15" spans="1:10" ht="18" customHeight="1" x14ac:dyDescent="0.3">
      <c r="B15" s="30" t="s">
        <v>356</v>
      </c>
      <c r="C15" s="31" t="s">
        <v>343</v>
      </c>
      <c r="F15" s="6" t="s">
        <v>235</v>
      </c>
      <c r="G15" s="6" t="s">
        <v>235</v>
      </c>
      <c r="H15" s="6" t="s">
        <v>235</v>
      </c>
      <c r="I15" s="6" t="s">
        <v>235</v>
      </c>
      <c r="J15" s="6" t="s">
        <v>235</v>
      </c>
    </row>
    <row r="16" spans="1:10" ht="18" customHeight="1" x14ac:dyDescent="0.3">
      <c r="A16" s="8"/>
      <c r="B16" s="2" t="s">
        <v>357</v>
      </c>
      <c r="C16" s="5">
        <v>1.5</v>
      </c>
      <c r="F16" s="6" t="s">
        <v>236</v>
      </c>
      <c r="G16" s="6" t="s">
        <v>236</v>
      </c>
      <c r="H16" s="6" t="s">
        <v>236</v>
      </c>
      <c r="I16" s="6" t="s">
        <v>236</v>
      </c>
      <c r="J16" s="6" t="s">
        <v>236</v>
      </c>
    </row>
    <row r="17" spans="1:12" ht="18" customHeight="1" x14ac:dyDescent="0.3">
      <c r="A17" s="8"/>
      <c r="B17" s="2" t="s">
        <v>358</v>
      </c>
      <c r="C17" s="5">
        <v>1.5</v>
      </c>
      <c r="F17" s="6" t="s">
        <v>237</v>
      </c>
      <c r="G17" s="6" t="s">
        <v>237</v>
      </c>
      <c r="H17" s="6" t="s">
        <v>237</v>
      </c>
      <c r="I17" s="6" t="s">
        <v>237</v>
      </c>
      <c r="J17" s="6" t="s">
        <v>237</v>
      </c>
    </row>
    <row r="18" spans="1:12" ht="18" customHeight="1" x14ac:dyDescent="0.3">
      <c r="A18" s="8"/>
      <c r="B18" s="2" t="s">
        <v>359</v>
      </c>
      <c r="C18" s="5">
        <v>1</v>
      </c>
    </row>
    <row r="19" spans="1:12" ht="18" customHeight="1" x14ac:dyDescent="0.3">
      <c r="A19" s="8"/>
      <c r="B19" s="2" t="s">
        <v>332</v>
      </c>
      <c r="C19" s="5">
        <f t="shared" ref="C19" si="0">+D19+0.5</f>
        <v>0.5</v>
      </c>
      <c r="F19" s="257" t="s">
        <v>71</v>
      </c>
      <c r="G19" s="257"/>
      <c r="H19" s="257"/>
      <c r="I19" s="257"/>
      <c r="J19" s="257"/>
      <c r="K19" s="257"/>
      <c r="L19" s="257"/>
    </row>
    <row r="20" spans="1:12" ht="18" customHeight="1" x14ac:dyDescent="0.3">
      <c r="A20" s="8"/>
      <c r="B20" s="2" t="s">
        <v>360</v>
      </c>
      <c r="C20" s="5">
        <v>0</v>
      </c>
      <c r="F20" s="21" t="s">
        <v>361</v>
      </c>
      <c r="G20" s="21" t="s">
        <v>362</v>
      </c>
      <c r="H20" s="21"/>
      <c r="I20" s="21" t="s">
        <v>363</v>
      </c>
      <c r="J20" s="21" t="s">
        <v>75</v>
      </c>
      <c r="K20" s="21" t="s">
        <v>77</v>
      </c>
      <c r="L20" s="21" t="s">
        <v>234</v>
      </c>
    </row>
    <row r="21" spans="1:12" ht="18" customHeight="1" x14ac:dyDescent="0.3">
      <c r="A21" s="8"/>
      <c r="B21" s="29" t="s">
        <v>160</v>
      </c>
      <c r="C21" s="12">
        <f>MAX(C16:C20)</f>
        <v>1.5</v>
      </c>
      <c r="F21" s="46">
        <v>1</v>
      </c>
      <c r="G21" s="5" t="s">
        <v>235</v>
      </c>
      <c r="H21" s="5" t="str">
        <f>CONCATENATE(F21,G21)</f>
        <v>1Horas</v>
      </c>
      <c r="I21" s="45">
        <v>0.3</v>
      </c>
      <c r="J21" s="45">
        <v>0.4</v>
      </c>
      <c r="K21" s="45">
        <v>0.3</v>
      </c>
      <c r="L21" s="28">
        <f>SUM(I21:K21)</f>
        <v>1</v>
      </c>
    </row>
    <row r="22" spans="1:12" ht="18" customHeight="1" x14ac:dyDescent="0.3">
      <c r="B22" s="30" t="s">
        <v>364</v>
      </c>
      <c r="C22" s="31" t="s">
        <v>343</v>
      </c>
      <c r="D22" s="10"/>
      <c r="F22" s="46">
        <v>1</v>
      </c>
      <c r="G22" s="5" t="s">
        <v>236</v>
      </c>
      <c r="H22" s="5" t="str">
        <f t="shared" ref="H22:H35" si="1">CONCATENATE(F22,G22)</f>
        <v>1ANS</v>
      </c>
      <c r="I22" s="45">
        <v>0.3</v>
      </c>
      <c r="J22" s="45">
        <v>0.4</v>
      </c>
      <c r="K22" s="45">
        <v>0.3</v>
      </c>
      <c r="L22" s="28">
        <f t="shared" ref="L22:L35" si="2">SUM(I22:K22)</f>
        <v>1</v>
      </c>
    </row>
    <row r="23" spans="1:12" ht="18" customHeight="1" x14ac:dyDescent="0.3">
      <c r="A23" s="8"/>
      <c r="B23" s="2" t="s">
        <v>365</v>
      </c>
      <c r="C23" s="5">
        <v>0</v>
      </c>
      <c r="D23" s="10"/>
      <c r="F23" s="46">
        <v>1</v>
      </c>
      <c r="G23" s="5" t="s">
        <v>237</v>
      </c>
      <c r="H23" s="5" t="str">
        <f t="shared" si="1"/>
        <v>1Proyecto cerrado</v>
      </c>
      <c r="I23" s="45">
        <v>0.4</v>
      </c>
      <c r="J23" s="45">
        <v>0.3</v>
      </c>
      <c r="K23" s="45">
        <v>0.3</v>
      </c>
      <c r="L23" s="28">
        <f t="shared" si="2"/>
        <v>1</v>
      </c>
    </row>
    <row r="24" spans="1:12" ht="18" customHeight="1" x14ac:dyDescent="0.3">
      <c r="A24" s="8"/>
      <c r="B24" s="2" t="s">
        <v>366</v>
      </c>
      <c r="C24" s="5">
        <v>0</v>
      </c>
      <c r="D24" s="10"/>
      <c r="F24" s="46">
        <v>2</v>
      </c>
      <c r="G24" s="5" t="s">
        <v>235</v>
      </c>
      <c r="H24" s="5" t="str">
        <f t="shared" si="1"/>
        <v>2Horas</v>
      </c>
      <c r="I24" s="45">
        <v>0.3</v>
      </c>
      <c r="J24" s="45">
        <v>0.4</v>
      </c>
      <c r="K24" s="45">
        <v>0.3</v>
      </c>
      <c r="L24" s="28">
        <f t="shared" si="2"/>
        <v>1</v>
      </c>
    </row>
    <row r="25" spans="1:12" ht="18" customHeight="1" x14ac:dyDescent="0.3">
      <c r="A25" s="8"/>
      <c r="B25" s="2" t="s">
        <v>367</v>
      </c>
      <c r="C25" s="5">
        <v>0</v>
      </c>
      <c r="D25" s="10"/>
      <c r="F25" s="46">
        <v>2</v>
      </c>
      <c r="G25" s="5" t="s">
        <v>236</v>
      </c>
      <c r="H25" s="5" t="str">
        <f t="shared" si="1"/>
        <v>2ANS</v>
      </c>
      <c r="I25" s="45">
        <v>0.3</v>
      </c>
      <c r="J25" s="45">
        <v>0.4</v>
      </c>
      <c r="K25" s="45">
        <v>0.3</v>
      </c>
      <c r="L25" s="28">
        <f t="shared" si="2"/>
        <v>1</v>
      </c>
    </row>
    <row r="26" spans="1:12" ht="18" customHeight="1" x14ac:dyDescent="0.3">
      <c r="A26" s="8"/>
      <c r="B26" s="29" t="s">
        <v>160</v>
      </c>
      <c r="C26" s="12">
        <f>MAX(C23:C25)</f>
        <v>0</v>
      </c>
      <c r="D26" s="32">
        <f>+C8+C14+C21+C26</f>
        <v>5</v>
      </c>
      <c r="F26" s="46">
        <v>2</v>
      </c>
      <c r="G26" s="5" t="s">
        <v>237</v>
      </c>
      <c r="H26" s="5" t="str">
        <f t="shared" si="1"/>
        <v>2Proyecto cerrado</v>
      </c>
      <c r="I26" s="45">
        <v>0.4</v>
      </c>
      <c r="J26" s="45">
        <v>0.3</v>
      </c>
      <c r="K26" s="45">
        <v>0.3</v>
      </c>
      <c r="L26" s="28">
        <f t="shared" si="2"/>
        <v>1</v>
      </c>
    </row>
    <row r="27" spans="1:12" ht="18" customHeight="1" x14ac:dyDescent="0.3">
      <c r="B27" s="33" t="s">
        <v>368</v>
      </c>
      <c r="C27" s="34" t="s">
        <v>343</v>
      </c>
      <c r="D27" s="134">
        <f>+'Resumen global'!$G$27</f>
        <v>0</v>
      </c>
      <c r="F27" s="46">
        <v>3</v>
      </c>
      <c r="G27" s="5" t="s">
        <v>235</v>
      </c>
      <c r="H27" s="5" t="str">
        <f t="shared" si="1"/>
        <v>3Horas</v>
      </c>
      <c r="I27" s="45">
        <v>0.3</v>
      </c>
      <c r="J27" s="45">
        <v>0.4</v>
      </c>
      <c r="K27" s="45">
        <v>0.3</v>
      </c>
      <c r="L27" s="28">
        <f t="shared" si="2"/>
        <v>1</v>
      </c>
    </row>
    <row r="28" spans="1:12" ht="18" customHeight="1" x14ac:dyDescent="0.3">
      <c r="A28" s="8"/>
      <c r="B28" s="2" t="s">
        <v>369</v>
      </c>
      <c r="C28" s="5">
        <f>+D28*$D$27</f>
        <v>0</v>
      </c>
      <c r="D28" s="5">
        <v>5</v>
      </c>
      <c r="F28" s="46">
        <v>3</v>
      </c>
      <c r="G28" s="5" t="s">
        <v>236</v>
      </c>
      <c r="H28" s="5" t="str">
        <f t="shared" si="1"/>
        <v>3ANS</v>
      </c>
      <c r="I28" s="45">
        <v>0.3</v>
      </c>
      <c r="J28" s="45">
        <v>0.4</v>
      </c>
      <c r="K28" s="45">
        <v>0.3</v>
      </c>
      <c r="L28" s="28">
        <f t="shared" si="2"/>
        <v>1</v>
      </c>
    </row>
    <row r="29" spans="1:12" ht="18" customHeight="1" x14ac:dyDescent="0.3">
      <c r="A29" s="8"/>
      <c r="B29" s="2" t="s">
        <v>370</v>
      </c>
      <c r="C29" s="5">
        <f t="shared" ref="C29:C32" si="3">+D29*$D$27</f>
        <v>0</v>
      </c>
      <c r="D29" s="5">
        <v>4.166666666666667</v>
      </c>
      <c r="F29" s="46">
        <v>3</v>
      </c>
      <c r="G29" s="5" t="s">
        <v>237</v>
      </c>
      <c r="H29" s="5" t="str">
        <f t="shared" si="1"/>
        <v>3Proyecto cerrado</v>
      </c>
      <c r="I29" s="45">
        <v>0.4</v>
      </c>
      <c r="J29" s="45">
        <v>0.3</v>
      </c>
      <c r="K29" s="45">
        <v>0.3</v>
      </c>
      <c r="L29" s="28">
        <f t="shared" si="2"/>
        <v>1</v>
      </c>
    </row>
    <row r="30" spans="1:12" ht="18" customHeight="1" x14ac:dyDescent="0.3">
      <c r="A30" s="8"/>
      <c r="B30" s="2" t="s">
        <v>371</v>
      </c>
      <c r="C30" s="5">
        <f t="shared" si="3"/>
        <v>0</v>
      </c>
      <c r="D30" s="5">
        <v>2.5</v>
      </c>
      <c r="F30" s="46">
        <v>4</v>
      </c>
      <c r="G30" s="5" t="s">
        <v>235</v>
      </c>
      <c r="H30" s="5" t="str">
        <f t="shared" si="1"/>
        <v>4Horas</v>
      </c>
      <c r="I30" s="45">
        <v>0.3</v>
      </c>
      <c r="J30" s="45">
        <v>0.4</v>
      </c>
      <c r="K30" s="45">
        <v>0.3</v>
      </c>
      <c r="L30" s="28">
        <f t="shared" si="2"/>
        <v>1</v>
      </c>
    </row>
    <row r="31" spans="1:12" ht="18" customHeight="1" x14ac:dyDescent="0.3">
      <c r="A31" s="8"/>
      <c r="B31" s="2" t="s">
        <v>372</v>
      </c>
      <c r="C31" s="5">
        <f t="shared" si="3"/>
        <v>0</v>
      </c>
      <c r="D31" s="5">
        <v>1.6666666666666667</v>
      </c>
      <c r="F31" s="46">
        <v>5</v>
      </c>
      <c r="G31" s="5" t="s">
        <v>236</v>
      </c>
      <c r="H31" s="5" t="str">
        <f t="shared" si="1"/>
        <v>5ANS</v>
      </c>
      <c r="I31" s="45">
        <v>0.3</v>
      </c>
      <c r="J31" s="45">
        <v>0.4</v>
      </c>
      <c r="K31" s="45">
        <v>0.3</v>
      </c>
      <c r="L31" s="28">
        <f t="shared" si="2"/>
        <v>1</v>
      </c>
    </row>
    <row r="32" spans="1:12" ht="18" customHeight="1" x14ac:dyDescent="0.3">
      <c r="A32" s="8"/>
      <c r="B32" s="2" t="s">
        <v>373</v>
      </c>
      <c r="C32" s="5">
        <f t="shared" si="3"/>
        <v>0</v>
      </c>
      <c r="D32" s="5">
        <v>0</v>
      </c>
      <c r="F32" s="46">
        <v>5</v>
      </c>
      <c r="G32" s="5" t="s">
        <v>237</v>
      </c>
      <c r="H32" s="5" t="str">
        <f t="shared" si="1"/>
        <v>5Proyecto cerrado</v>
      </c>
      <c r="I32" s="45">
        <v>0.4</v>
      </c>
      <c r="J32" s="45">
        <v>0.3</v>
      </c>
      <c r="K32" s="45">
        <v>0.3</v>
      </c>
      <c r="L32" s="28">
        <f t="shared" si="2"/>
        <v>1</v>
      </c>
    </row>
    <row r="33" spans="1:12" ht="18" customHeight="1" x14ac:dyDescent="0.3">
      <c r="A33" s="8"/>
      <c r="B33" s="29" t="s">
        <v>160</v>
      </c>
      <c r="C33" s="12">
        <f>MAX(C28:C32)</f>
        <v>0</v>
      </c>
      <c r="F33" s="46">
        <v>5</v>
      </c>
      <c r="G33" s="5" t="s">
        <v>235</v>
      </c>
      <c r="H33" s="5" t="str">
        <f t="shared" si="1"/>
        <v>5Horas</v>
      </c>
      <c r="I33" s="45">
        <v>0.3</v>
      </c>
      <c r="J33" s="45">
        <v>0.4</v>
      </c>
      <c r="K33" s="45">
        <v>0.3</v>
      </c>
      <c r="L33" s="28">
        <f t="shared" si="2"/>
        <v>1</v>
      </c>
    </row>
    <row r="34" spans="1:12" ht="18" customHeight="1" x14ac:dyDescent="0.3">
      <c r="B34" s="33" t="s">
        <v>368</v>
      </c>
      <c r="C34" s="34" t="s">
        <v>343</v>
      </c>
      <c r="D34" s="134">
        <f>+'Resumen global'!$G$28</f>
        <v>0</v>
      </c>
      <c r="F34" s="46">
        <v>5</v>
      </c>
      <c r="G34" s="5" t="s">
        <v>236</v>
      </c>
      <c r="H34" s="5" t="str">
        <f t="shared" si="1"/>
        <v>5ANS</v>
      </c>
      <c r="I34" s="45">
        <v>0.3</v>
      </c>
      <c r="J34" s="45">
        <v>0.4</v>
      </c>
      <c r="K34" s="45">
        <v>0.3</v>
      </c>
      <c r="L34" s="28">
        <f t="shared" si="2"/>
        <v>1</v>
      </c>
    </row>
    <row r="35" spans="1:12" ht="18" customHeight="1" x14ac:dyDescent="0.3">
      <c r="A35" s="8"/>
      <c r="B35" s="2" t="s">
        <v>369</v>
      </c>
      <c r="C35" s="5">
        <f>+D35*$D$34</f>
        <v>0</v>
      </c>
      <c r="D35" s="5">
        <v>5</v>
      </c>
      <c r="F35" s="46">
        <v>5</v>
      </c>
      <c r="G35" s="5" t="s">
        <v>237</v>
      </c>
      <c r="H35" s="5" t="str">
        <f t="shared" si="1"/>
        <v>5Proyecto cerrado</v>
      </c>
      <c r="I35" s="45">
        <v>0.4</v>
      </c>
      <c r="J35" s="45">
        <v>0.3</v>
      </c>
      <c r="K35" s="45">
        <v>0.3</v>
      </c>
      <c r="L35" s="28">
        <f t="shared" si="2"/>
        <v>1</v>
      </c>
    </row>
    <row r="36" spans="1:12" ht="18" customHeight="1" x14ac:dyDescent="0.3">
      <c r="A36" s="8"/>
      <c r="B36" s="2" t="s">
        <v>370</v>
      </c>
      <c r="C36" s="5">
        <f t="shared" ref="C36:C39" si="4">+D36*$D$34</f>
        <v>0</v>
      </c>
      <c r="D36" s="5">
        <v>4.166666666666667</v>
      </c>
    </row>
    <row r="37" spans="1:12" ht="18" customHeight="1" x14ac:dyDescent="0.3">
      <c r="A37" s="8"/>
      <c r="B37" s="2" t="s">
        <v>371</v>
      </c>
      <c r="C37" s="5">
        <f t="shared" si="4"/>
        <v>0</v>
      </c>
      <c r="D37" s="5">
        <v>2.5</v>
      </c>
    </row>
    <row r="38" spans="1:12" ht="18" customHeight="1" x14ac:dyDescent="0.3">
      <c r="A38" s="8"/>
      <c r="B38" s="2" t="s">
        <v>372</v>
      </c>
      <c r="C38" s="5">
        <f t="shared" si="4"/>
        <v>0</v>
      </c>
      <c r="D38" s="5">
        <v>1.6666666666666667</v>
      </c>
    </row>
    <row r="39" spans="1:12" ht="18" customHeight="1" x14ac:dyDescent="0.3">
      <c r="B39" s="2" t="s">
        <v>373</v>
      </c>
      <c r="C39" s="5">
        <f t="shared" si="4"/>
        <v>0</v>
      </c>
      <c r="D39" s="5">
        <v>0</v>
      </c>
    </row>
    <row r="40" spans="1:12" ht="18" customHeight="1" x14ac:dyDescent="0.3">
      <c r="B40" s="29" t="s">
        <v>160</v>
      </c>
      <c r="C40" s="12">
        <f>MAX(C35:C39)</f>
        <v>0</v>
      </c>
    </row>
    <row r="41" spans="1:12" ht="18" customHeight="1" x14ac:dyDescent="0.3">
      <c r="A41" s="8"/>
      <c r="B41" s="33" t="s">
        <v>374</v>
      </c>
      <c r="C41" s="34" t="s">
        <v>343</v>
      </c>
      <c r="D41" s="134">
        <f>+'Resumen global'!$G$29</f>
        <v>0</v>
      </c>
    </row>
    <row r="42" spans="1:12" ht="18" customHeight="1" x14ac:dyDescent="0.3">
      <c r="A42" s="8"/>
      <c r="B42" s="2" t="s">
        <v>369</v>
      </c>
      <c r="C42" s="5">
        <f>+D42*$D$41</f>
        <v>0</v>
      </c>
      <c r="D42" s="5">
        <v>5</v>
      </c>
    </row>
    <row r="43" spans="1:12" ht="18" customHeight="1" x14ac:dyDescent="0.3">
      <c r="A43" s="8"/>
      <c r="B43" s="2" t="s">
        <v>370</v>
      </c>
      <c r="C43" s="5">
        <f t="shared" ref="C43:C46" si="5">+D43*$D$41</f>
        <v>0</v>
      </c>
      <c r="D43" s="5">
        <v>4.166666666666667</v>
      </c>
    </row>
    <row r="44" spans="1:12" ht="18" customHeight="1" x14ac:dyDescent="0.3">
      <c r="A44" s="8"/>
      <c r="B44" s="2" t="s">
        <v>371</v>
      </c>
      <c r="C44" s="5">
        <f t="shared" si="5"/>
        <v>0</v>
      </c>
      <c r="D44" s="5">
        <v>2.5</v>
      </c>
    </row>
    <row r="45" spans="1:12" ht="18" customHeight="1" x14ac:dyDescent="0.3">
      <c r="A45" s="8"/>
      <c r="B45" s="2" t="s">
        <v>372</v>
      </c>
      <c r="C45" s="5">
        <f t="shared" si="5"/>
        <v>0</v>
      </c>
      <c r="D45" s="5">
        <v>1.6666666666666667</v>
      </c>
    </row>
    <row r="46" spans="1:12" ht="18" customHeight="1" x14ac:dyDescent="0.3">
      <c r="A46" s="8"/>
      <c r="B46" s="2" t="s">
        <v>373</v>
      </c>
      <c r="C46" s="5">
        <f t="shared" si="5"/>
        <v>0</v>
      </c>
      <c r="D46" s="5">
        <v>0</v>
      </c>
    </row>
    <row r="47" spans="1:12" ht="18" customHeight="1" x14ac:dyDescent="0.3">
      <c r="B47" s="29" t="s">
        <v>160</v>
      </c>
      <c r="C47" s="12">
        <f>MAX(C42:C46)</f>
        <v>0</v>
      </c>
      <c r="D47" s="37">
        <f>+C47+C40+C33</f>
        <v>0</v>
      </c>
    </row>
    <row r="48" spans="1:12" ht="18" customHeight="1" x14ac:dyDescent="0.3">
      <c r="B48" s="35" t="s">
        <v>375</v>
      </c>
      <c r="C48" s="36" t="s">
        <v>343</v>
      </c>
    </row>
    <row r="49" spans="2:4" ht="18" customHeight="1" x14ac:dyDescent="0.3">
      <c r="B49" s="2" t="s">
        <v>376</v>
      </c>
      <c r="C49" s="5">
        <v>3</v>
      </c>
    </row>
    <row r="50" spans="2:4" ht="18" customHeight="1" x14ac:dyDescent="0.3">
      <c r="B50" s="2" t="s">
        <v>377</v>
      </c>
      <c r="C50" s="5">
        <v>2.5</v>
      </c>
    </row>
    <row r="51" spans="2:4" ht="18" customHeight="1" x14ac:dyDescent="0.3">
      <c r="B51" s="2" t="s">
        <v>378</v>
      </c>
      <c r="C51" s="5">
        <v>1.5</v>
      </c>
    </row>
    <row r="52" spans="2:4" ht="18" customHeight="1" x14ac:dyDescent="0.3">
      <c r="B52" s="2" t="s">
        <v>379</v>
      </c>
      <c r="C52" s="5">
        <v>1</v>
      </c>
    </row>
    <row r="53" spans="2:4" ht="18" customHeight="1" x14ac:dyDescent="0.3">
      <c r="B53" s="2" t="s">
        <v>380</v>
      </c>
      <c r="C53" s="5">
        <v>0</v>
      </c>
    </row>
    <row r="54" spans="2:4" ht="18" customHeight="1" x14ac:dyDescent="0.3">
      <c r="B54" s="29" t="s">
        <v>160</v>
      </c>
      <c r="C54" s="12">
        <f>MAX(C49:C53)</f>
        <v>3</v>
      </c>
    </row>
    <row r="55" spans="2:4" ht="18" customHeight="1" x14ac:dyDescent="0.3">
      <c r="B55" s="35" t="s">
        <v>381</v>
      </c>
      <c r="C55" s="36" t="s">
        <v>343</v>
      </c>
    </row>
    <row r="56" spans="2:4" ht="18" customHeight="1" x14ac:dyDescent="0.3">
      <c r="B56" s="2" t="s">
        <v>369</v>
      </c>
      <c r="C56" s="5">
        <v>2</v>
      </c>
    </row>
    <row r="57" spans="2:4" ht="18" customHeight="1" x14ac:dyDescent="0.3">
      <c r="B57" s="2" t="s">
        <v>370</v>
      </c>
      <c r="C57" s="5">
        <v>1.5</v>
      </c>
    </row>
    <row r="58" spans="2:4" ht="18" customHeight="1" x14ac:dyDescent="0.3">
      <c r="B58" s="2" t="s">
        <v>371</v>
      </c>
      <c r="C58" s="5">
        <v>1</v>
      </c>
    </row>
    <row r="59" spans="2:4" ht="18" customHeight="1" x14ac:dyDescent="0.3">
      <c r="B59" s="2" t="s">
        <v>372</v>
      </c>
      <c r="C59" s="5">
        <v>0.5</v>
      </c>
    </row>
    <row r="60" spans="2:4" ht="18" customHeight="1" x14ac:dyDescent="0.3">
      <c r="B60" s="29" t="s">
        <v>160</v>
      </c>
      <c r="C60" s="12">
        <f>MAX(C56:C59)</f>
        <v>2</v>
      </c>
    </row>
    <row r="61" spans="2:4" ht="18" customHeight="1" x14ac:dyDescent="0.3">
      <c r="C61" s="130" t="s">
        <v>160</v>
      </c>
      <c r="D61" s="131">
        <f>+C54+C60</f>
        <v>5</v>
      </c>
    </row>
    <row r="62" spans="2:4" ht="18" customHeight="1" x14ac:dyDescent="0.3">
      <c r="C62" s="132" t="s">
        <v>50</v>
      </c>
      <c r="D62" s="133">
        <f>+D61+D47+D26</f>
        <v>10</v>
      </c>
    </row>
    <row r="72" spans="4:4" ht="18" customHeight="1" x14ac:dyDescent="0.3">
      <c r="D72" s="38">
        <f>+C54+C60</f>
        <v>5</v>
      </c>
    </row>
    <row r="73" spans="4:4" ht="18" customHeight="1" x14ac:dyDescent="0.3">
      <c r="D73" s="5">
        <f>SUM(D26:D72)</f>
        <v>65</v>
      </c>
    </row>
  </sheetData>
  <sheetProtection algorithmName="SHA-512" hashValue="ccLic6WrCKVVnEapJ0bLBDfiXK52zX0UbYkqPT698f/QCcClFrOmEeEtpl3F3pY2RH6c95zhG4zco4m0Q6bMRg==" saltValue="88HbPz7jIE5vbCzVf0vgQA==" spinCount="100000" sheet="1" objects="1" scenarios="1"/>
  <mergeCells count="3">
    <mergeCell ref="F2:J2"/>
    <mergeCell ref="F13:J13"/>
    <mergeCell ref="F19:L19"/>
  </mergeCells>
  <dataValidations count="1">
    <dataValidation type="list" allowBlank="1" showInputMessage="1" showErrorMessage="1" sqref="G21:G35" xr:uid="{4A0F1869-62FE-4B8F-9C68-F985F64D6C26}">
      <formula1>INDIRECT("lotes"&amp;#REF!)</formula1>
    </dataValidation>
  </dataValidations>
  <pageMargins left="0.7" right="0.7" top="0.75" bottom="0.75" header="0.3" footer="0.3"/>
  <pageSetup paperSize="9" orientation="portrait"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drnMqTU3A6b0ZlqZ/HPp0TiD84QUeLs7Z90RJo349bo=</DigestValue>
    </Reference>
    <Reference Type="http://www.w3.org/2000/09/xmldsig#Object" URI="#idOfficeObject">
      <DigestMethod Algorithm="http://www.w3.org/2001/04/xmlenc#sha256"/>
      <DigestValue>bI5PqIwSNC2gQMyyO1CepB+dpiGJAmRA+xhmTPsMjy8=</DigestValue>
    </Reference>
    <Reference Type="http://uri.etsi.org/01903#SignedProperties" URI="#idSignedProperties">
      <Transforms>
        <Transform Algorithm="http://www.w3.org/TR/2001/REC-xml-c14n-20010315"/>
      </Transforms>
      <DigestMethod Algorithm="http://www.w3.org/2001/04/xmlenc#sha256"/>
      <DigestValue>rvW/qIBiEw7Wf2Sm8KUUV5ssvWhMEPX6SO+SbonQEHk=</DigestValue>
    </Reference>
  </SignedInfo>
  <SignatureValue>Ypqrobo8BjI2iGBOr4gL5rC4gz5uqa/Z9Ae62bqgmSxt2b9da/+DRNBzylvj0HFH9a3Lc4+JyjU3
XmGLs6T0GQMfxRrve+vUKQX+PuZYEE07SSlEwS/Pj/WtJwMCY1+RrB//3uU95iI/GwrJslF7NWE0
VmUuIWAy9M/frlthXM83Vb1wkfKg/Q3TzrEhTDTyVgpSfohBVKBI7oscpqZocu6y6PNvAc6qQFv4
bebVSByc/AHCaogGX4WHQFyZHLZ6EfZ05PFp5E0c1jWYAekXOz9Otti+jFTYVAo6OypqcdHnLeA/
njPZcMCHWUsK9Z+mQZn7AK2K84V/rUHK00+rPA==</SignatureValue>
  <KeyInfo>
    <X509Data>
      <X509Certificate>MIIIvDCCB6SgAwIBAgIQQTtVjBI6QX1hwvH9UhH3gDANBgkqhkiG9w0BAQsFADBNMQswCQYDVQQGEwJFUzERMA8GA1UECgwIRk5NVC1SQ00xDjAMBgNVBAsMBUNFUkVTMRswGQYDVQQDDBJBQyBSZXByZXNlbnRhY2nDs24wHhcNMjExMjIyMDkzODA1WhcNMjMxMjIyMDkzODA1WjCB8zE4MDYGA1UEDQwvUmVmOkFFQVQvQUVBVDAzMDYvUFVFU1RPIDEvMzg0MTgvMjIxMjIwMjExMDM0MTYxGDAWBgNVBAUTD0lEQ0VTLTE2MDYzMzM1QzEQMA4GA1UEKgwHR09OWkFMTzEXMBUGA1UEBAwOVkFMTEVKTyBTRVRJRU4xMTAvBgNVBAMMKDE2MDYzMzM1QyBHT05aQUxPIFZBTExFSk8gKFI6IFU2NzY0Njg0NCkxGDAWBgNVBGEMD1ZBVEVTLVU2NzY0Njg0NDEYMBYGA1UECgwPVVRFIE5UVCBJWkZFIEwxMQswCQYDVQQGEwJFUzCCASIwDQYJKoZIhvcNAQEBBQADggEPADCCAQoCggEBAJ4Ed8MIQl4+M4cybJ4q2W7DJCZCpEHnJMCCkDq9agOGedYgQ/e3FIFrB7iNnoQsGOpTTR7bimFhmNlmjlnZTfRVV7u1sUOJFiNh/4WbdMwmxovrnXVFY+Po+P9PZyFKDTUXx2bmhb2Cee3ZrMFVyzv6ecW+AK6t3gYB04AIlMw5Q6JshvXyJB/sqdLtYTZ25OHGIbxqBqZkrjlLDxTRtE1u2c/7HXIwX2Ul6X/R/GyMgySXPhEH5ZwhniRu3kOpA1tRvFGIEGdJfj8o6q8Zu2+Yt34WhwBJ/YOkBR6WsM+z5lgV4qlQrU3e9XASiFjqGq/dSo7Ys9Kwsf8jU0xdEM0CAwEAAaOCBO8wggTrMIIBFAYDVR0RBIIBCzCCAQeBJ2JzYS5nb3Zlcm5hbmNlLm9yZ2FuaXphdGlvbkBudHRkYXRhLmNvbaSB2zCB2DEvMC0GCSsGAQQBrGYBFgwgUkcgLSBVbmnDs24gdGVtcG9yYWwgZGUgZW1wcmVzYXMxHjAcBgkrBgEEAaxmAQcMD1ZBVEVTLVU2NzY0Njg0NDEeMBwGCSsGAQQBrGYBBgwPVVRFIE5UVCBJWkZFIEwxMR4wHAYJKwYBBAGsZgEEDA9JRENFUy0xNjA2MzMzNUMxFTATBgkrBgEEAaxmAQMMBlNFVElFTjEWMBQGCSsGAQQBrGYBAgwHVkFMTEVKTzEWMBQGCSsGAQQBrGYBAQwHR09OWkFMTzAMBgNVHRMBAf8EAjAAMA4GA1UdDwEB/wQEAwIF4DAdBgNVHSUEFjAUBggrBgEFBQcDAgYIKwYBBQUHAwQwgYIGCCsGAQUFBwEBBHYwdDA9BggrBgEFBQcwAYYxaHR0cDovL29jc3ByZXAuY2VydC5mbm10LmVzL29jc3ByZXAvT2NzcFJlc3BvbmRlcjAzBggrBgEFBQcwAoYnaHR0cDovL3d3dy5jZXJ0LmZubXQuZXMvY2VydHMvQUNSRVAuY3J0MB0GA1UdDgQWBBQ/+4P7amN3eAXHNZfp1DES+v/aCTCCAUAGA1UdIASCATcwggEzMIIBGQYKKwYBBAGsZgMLAzCCAQkwKQYIKwYBBQUHAgEWHWh0dHA6Ly93d3cuY2VydC5mbm10LmVzL2RwY3MvMIHbBggrBgEFBQcCAjCBzgyBy0NlcnRpZmljYWRvIGN1YWxpZmljYWRvIGRlIHJlcHJlc2VudGFudGUgZGUgZW50aWRhZCBzaW4gcGVyc29uLiBqdXLDrWRpY2EgKHJlbGFjacOzbiBjb24gQUFQUCkuIFN1amV0byBhIGNvbmRpY2lvbmVzIGRlIHVzbyBzZWfDum4gRFBDIGRlIEZOTVQtUkNNLCBOSUY6IFEyODI2MDA0LUogKEMvSm9yZ2UgSnVhbiAxMDYtMjgwMDktTWFkcmlkLUVzcGHDsWEpMAkGBwQAi+xAAQAwCQYHYIVUAQMFCTCBpgYIKwYBBQUHAQMEgZkwgZYwCAYGBACORgEBMBMGBgQAjkYBBjAJBgcEAI5GAQYBMGgGBgQAjkYBBTBeMC0WJ2h0dHBzOi8vd3d3LmNlcnQuZm5tdC5lcy9wZHMvUERTX2VzLnBkZhMCZXMwLRYnaHR0cHM6Ly93d3cuY2VydC5mbm10LmVzL3Bkcy9QRFNfZW4ucGRmEwJlbjALBgYEAI5GAQMCAQ8wHwYDVR0jBBgwFoAU3FCWn9cxickR5O+WX/ZfglJGYlMwgeEGA1UdHwSB2TCB1jCB06CB0KCBzYaBnWxkYXA6Ly9sZGFwcmVwLmNlcnQuZm5tdC5lcy9DTj1DUkwxNTc4LE9VPUFDJTIwUmVwcmVzZW50YWNpb24sT1U9Q0VSRVMsTz1GTk1ULVJDTSxDPUVTP2NlcnRpZmljYXRlUmV2b2NhdGlvbkxpc3Q7YmluYXJ5P2Jhc2U/b2JqZWN0Y2xhc3M9Y1JMRGlzdHJpYnV0aW9uUG9pbnSGK2h0dHA6Ly93d3cuY2VydC5mbm10LmVzL2NybHNyZXAvQ1JMMTU3OC5jcmwwDQYJKoZIhvcNAQELBQADggEBAE1Lp/PxTdyr/ts2K5yRoXliCEvMvZ4yiIFMElKPIiH/gKWBug2X1CRMlIRpydA8h4K/Z6KsjZ+bAmOVGXb/86Rq4aTVMsSTLr4LPu5V7lXRyI0bph83gy2OF4OVImEWwD6uZiDTzLDOj6VvFC5VyTFVUYFtIrZ7UzcIe25/Fei7C9WrfcTpaxNH0flBoN3WJ5wJX1dzjBvSFWB4MHEhXgGnbAghUtko5ly5QyBAve1r4P6a3Cpi4CtEw/X2ZJvbKURTotNoIYIL0xW7q2me2rRtb5NeoECkhr5YEjYjUQf01mup/P6BYge0mM/Lun1a6giePnGcYUgpLargAOoJrMo=</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1"/>
          </Transform>
          <Transform Algorithm="http://www.w3.org/TR/2001/REC-xml-c14n-20010315"/>
        </Transforms>
        <DigestMethod Algorithm="http://www.w3.org/2001/04/xmlenc#sha256"/>
        <DigestValue>GEcXrKHNEOFZ+fAWo2YYQXxFyWBvhDyC/4Ul5pQDykk=</DigestValue>
      </Reference>
      <Reference URI="/userCustomization/customUI.xml?ContentType=application/xml">
        <DigestMethod Algorithm="http://www.w3.org/2001/04/xmlenc#sha256"/>
        <DigestValue>soZEqw6f4/qnhN6fZw7jytA8+8KzPj4Nz+lESu+yjgw=</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
            <mdssi:RelationshipReference xmlns:mdssi="http://schemas.openxmlformats.org/package/2006/digital-signature" SourceId="rId16"/>
          </Transform>
          <Transform Algorithm="http://www.w3.org/TR/2001/REC-xml-c14n-20010315"/>
        </Transforms>
        <DigestMethod Algorithm="http://www.w3.org/2001/04/xmlenc#sha256"/>
        <DigestValue>VcFssiF4de8CswVJL5jBGaH5zrohQdJipaPZIFHKHLc=</DigestValue>
      </Reference>
      <Reference URI="/xl/calcChain.xml?ContentType=application/vnd.openxmlformats-officedocument.spreadsheetml.calcChain+xml">
        <DigestMethod Algorithm="http://www.w3.org/2001/04/xmlenc#sha256"/>
        <DigestValue>iJx5UGOdfUnjtuIW+/NdHZ4rOqYXnLGilpp5vkaFSBI=</DigestValue>
      </Reference>
      <Reference URI="/xl/connections.xml?ContentType=application/vnd.openxmlformats-officedocument.spreadsheetml.connections+xml">
        <DigestMethod Algorithm="http://www.w3.org/2001/04/xmlenc#sha256"/>
        <DigestValue>J+r7ubmajdfONO62COlCFpsFq2UfNIDLwbyDHBtKqH0=</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PoORoF5QkIhatxBoAqsSyHbXfQolck0Fj5kuIk44OuE=</DigestValue>
      </Reference>
      <Reference URI="/xl/drawings/drawing1.xml?ContentType=application/vnd.openxmlformats-officedocument.drawing+xml">
        <DigestMethod Algorithm="http://www.w3.org/2001/04/xmlenc#sha256"/>
        <DigestValue>++TkSLVN0UUHcX2rjdCyPPitJRTXaUxokoAzr105EZg=</DigestValue>
      </Reference>
      <Reference URI="/xl/drawings/drawing2.xml?ContentType=application/vnd.openxmlformats-officedocument.drawing+xml">
        <DigestMethod Algorithm="http://www.w3.org/2001/04/xmlenc#sha256"/>
        <DigestValue>rbzG22oppUBES/BXvzPhyNS8ps74q4EG31tZyNysDY4=</DigestValue>
      </Reference>
      <Reference URI="/xl/drawings/drawing3.xml?ContentType=application/vnd.openxmlformats-officedocument.drawing+xml">
        <DigestMethod Algorithm="http://www.w3.org/2001/04/xmlenc#sha256"/>
        <DigestValue>wKSgLK5iiJmjKl+AmE0njtTPbIGQUjrp+vhoB6Yn+cQ=</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UdLoIQt82es8EZgvvHJHpxUQ2djpCL/cPl0BqRxd1ow=</DigestValue>
      </Reference>
      <Reference URI="/xl/externalLinks/externalLink1.xml?ContentType=application/vnd.openxmlformats-officedocument.spreadsheetml.externalLink+xml">
        <DigestMethod Algorithm="http://www.w3.org/2001/04/xmlenc#sha256"/>
        <DigestValue>+TQmyUC5CObsdQ0Ug0QPWHcdVYbVbkHIfv5OkP7V6IY=</DigestValue>
      </Reference>
      <Reference URI="/xl/media/image1.jpeg?ContentType=image/jpeg">
        <DigestMethod Algorithm="http://www.w3.org/2001/04/xmlenc#sha256"/>
        <DigestValue>fLj+Rg4GiYh8eXw4sgYlS2uKREILejXA4lgvhzmMa+o=</DigestValue>
      </Reference>
      <Reference URI="/xl/media/image2.jpeg?ContentType=image/jpeg">
        <DigestMethod Algorithm="http://www.w3.org/2001/04/xmlenc#sha256"/>
        <DigestValue>umveLroBXV2dbAY/vrV2dgn1UldSMi0FFVGr74KaVG4=</DigestValue>
      </Reference>
      <Reference URI="/xl/metadata.xml?ContentType=application/vnd.openxmlformats-officedocument.spreadsheetml.sheetMetadata+xml">
        <DigestMethod Algorithm="http://www.w3.org/2001/04/xmlenc#sha256"/>
        <DigestValue>6A4HwnoPdblEQvyJVvapxowGIWiz0V6fJS8jEAb6yGc=</DigestValue>
      </Reference>
      <Reference URI="/xl/printerSettings/printerSettings1.bin?ContentType=application/vnd.openxmlformats-officedocument.spreadsheetml.printerSettings">
        <DigestMethod Algorithm="http://www.w3.org/2001/04/xmlenc#sha256"/>
        <DigestValue>LJWDxXLRIX0RlK0JwzhrYMWRNU21WuK3+7JsTASeEFc=</DigestValue>
      </Reference>
      <Reference URI="/xl/printerSettings/printerSettings2.bin?ContentType=application/vnd.openxmlformats-officedocument.spreadsheetml.printerSettings">
        <DigestMethod Algorithm="http://www.w3.org/2001/04/xmlenc#sha256"/>
        <DigestValue>l+4VEhVQC9R9xFhu58AKxErbSFOrg/04lazw5rzQP/E=</DigestValue>
      </Reference>
      <Reference URI="/xl/printerSettings/printerSettings3.bin?ContentType=application/vnd.openxmlformats-officedocument.spreadsheetml.printerSettings">
        <DigestMethod Algorithm="http://www.w3.org/2001/04/xmlenc#sha256"/>
        <DigestValue>hFvG3FWT/yMVNoTtF8AyxQI/7meSt55lHA45ma25P58=</DigestValue>
      </Reference>
      <Reference URI="/xl/printerSettings/printerSettings4.bin?ContentType=application/vnd.openxmlformats-officedocument.spreadsheetml.printerSettings">
        <DigestMethod Algorithm="http://www.w3.org/2001/04/xmlenc#sha256"/>
        <DigestValue>AJ+PvIUs1chzkknZcNCYcMGjDosMebo/AgDriIA0+/g=</DigestValue>
      </Reference>
      <Reference URI="/xl/printerSettings/printerSettings5.bin?ContentType=application/vnd.openxmlformats-officedocument.spreadsheetml.printerSettings">
        <DigestMethod Algorithm="http://www.w3.org/2001/04/xmlenc#sha256"/>
        <DigestValue>hFvG3FWT/yMVNoTtF8AyxQI/7meSt55lHA45ma25P58=</DigestValue>
      </Reference>
      <Reference URI="/xl/printerSettings/printerSettings6.bin?ContentType=application/vnd.openxmlformats-officedocument.spreadsheetml.printerSettings">
        <DigestMethod Algorithm="http://www.w3.org/2001/04/xmlenc#sha256"/>
        <DigestValue>qd7Kn31C1rQj0DRaDr5xMcmg79eFfwAt6WRzKUXLaZ8=</DigestValue>
      </Reference>
      <Reference URI="/xl/printerSettings/printerSettings7.bin?ContentType=application/vnd.openxmlformats-officedocument.spreadsheetml.printerSettings">
        <DigestMethod Algorithm="http://www.w3.org/2001/04/xmlenc#sha256"/>
        <DigestValue>qd7Kn31C1rQj0DRaDr5xMcmg79eFfwAt6WRzKUXLaZ8=</DigestValue>
      </Reference>
      <Reference URI="/xl/printerSettings/printerSettings8.bin?ContentType=application/vnd.openxmlformats-officedocument.spreadsheetml.printerSettings">
        <DigestMethod Algorithm="http://www.w3.org/2001/04/xmlenc#sha256"/>
        <DigestValue>hFvG3FWT/yMVNoTtF8AyxQI/7meSt55lHA45ma25P58=</DigestValue>
      </Reference>
      <Reference URI="/xl/printerSettings/printerSettings9.bin?ContentType=application/vnd.openxmlformats-officedocument.spreadsheetml.printerSettings">
        <DigestMethod Algorithm="http://www.w3.org/2001/04/xmlenc#sha256"/>
        <DigestValue>efAlFf/y+kU/zhKl7mvcEkZD3F+xLljLDGCAFopCnfw=</DigestValue>
      </Reference>
      <Reference URI="/xl/queryTables/queryTable1.xml?ContentType=application/vnd.openxmlformats-officedocument.spreadsheetml.queryTable+xml">
        <DigestMethod Algorithm="http://www.w3.org/2001/04/xmlenc#sha256"/>
        <DigestValue>L1eqPcJn4RdVkWHr+YXnjRj+4LVn4WynNsltldwuP50=</DigestValue>
      </Reference>
      <Reference URI="/xl/sharedStrings.xml?ContentType=application/vnd.openxmlformats-officedocument.spreadsheetml.sharedStrings+xml">
        <DigestMethod Algorithm="http://www.w3.org/2001/04/xmlenc#sha256"/>
        <DigestValue>QmcVqDQnw0X9lWCA2qzffXriuYhwa31oySwhTTFQnzk=</DigestValue>
      </Reference>
      <Reference URI="/xl/styles.xml?ContentType=application/vnd.openxmlformats-officedocument.spreadsheetml.styles+xml">
        <DigestMethod Algorithm="http://www.w3.org/2001/04/xmlenc#sha256"/>
        <DigestValue>23CKvXXS5iOApcOehNq/dG6Asa3SYip5i5jmVtMBzuM=</DigestValue>
      </Reference>
      <Reference URI="/xl/tables/_rels/table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B5KD/wc/nkjwuIJHZNnvqnQtLYaOThx3r7Brx20Umzk=</DigestValue>
      </Reference>
      <Reference URI="/xl/tables/table1.xml?ContentType=application/vnd.openxmlformats-officedocument.spreadsheetml.table+xml">
        <DigestMethod Algorithm="http://www.w3.org/2001/04/xmlenc#sha256"/>
        <DigestValue>yj2c+zKqLBdQJFNSdAhrXge27GAPB7nBfpK67UN3RtU=</DigestValue>
      </Reference>
      <Reference URI="/xl/tables/table2.xml?ContentType=application/vnd.openxmlformats-officedocument.spreadsheetml.table+xml">
        <DigestMethod Algorithm="http://www.w3.org/2001/04/xmlenc#sha256"/>
        <DigestValue>UZh2LplQm/+4e5hy0cjMPCQ1Dc/vs7usuiQQ3KYYgw8=</DigestValue>
      </Reference>
      <Reference URI="/xl/theme/theme1.xml?ContentType=application/vnd.openxmlformats-officedocument.theme+xml">
        <DigestMethod Algorithm="http://www.w3.org/2001/04/xmlenc#sha256"/>
        <DigestValue>0od3cWFb7H/9sr1fB3xS8N4PVwSWcnr1ynQI1Jvf//w=</DigestValue>
      </Reference>
      <Reference URI="/xl/vbaProject.bin?ContentType=application/vnd.ms-office.vbaProject">
        <DigestMethod Algorithm="http://www.w3.org/2001/04/xmlenc#sha256"/>
        <DigestValue>lI2glLha1m4oyB+atTCfcFgukz332zL2CVe/nNktgGQ=</DigestValue>
      </Reference>
      <Reference URI="/xl/workbook.xml?ContentType=application/vnd.ms-excel.sheet.macroEnabled.main+xml">
        <DigestMethod Algorithm="http://www.w3.org/2001/04/xmlenc#sha256"/>
        <DigestValue>IQOmxj5SNAn6whbFpyenZS/wKlJNuc35RjkUgE0pCx4=</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AkNhP713P2yRa4Dh2ARGFlwE9QoRTO7fyLFTfcPffHI=</DigestValue>
      </Reference>
      <Reference URI="/xl/worksheets/_rels/sheet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VBtVSFlIxzcUXhEx+UnzQXmVxs4DIyAhk4b2Ww66f00=</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gc8gglqzrTW6QqtJ1wKoNXolcaOgzOM1fQMzKARu980=</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/Alqh1X0Pjh250ccWqcbLaO4JExAzSVGkRo8jWx+4ns=</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KT/CqvyuV6uSjWC5ynXnrxXR9G3iaDSosVAugHGTKbE=</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Hn312iFVAVEEqAKWjzSyMuH8Z7E9KghDh9sP+0mhGwE=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FDvnHPD6/CGwKxcEIE18HsOXjfGgVY46IoBPe6h8Lj0=</DigestValue>
      </Reference>
      <Reference URI="/xl/worksheets/sheet1.xml?ContentType=application/vnd.openxmlformats-officedocument.spreadsheetml.worksheet+xml">
        <DigestMethod Algorithm="http://www.w3.org/2001/04/xmlenc#sha256"/>
        <DigestValue>38cvTb7wlhh0vvQdcwCemi29UU8BEGPgDZBrIE61NKg=</DigestValue>
      </Reference>
      <Reference URI="/xl/worksheets/sheet10.xml?ContentType=application/vnd.openxmlformats-officedocument.spreadsheetml.worksheet+xml">
        <DigestMethod Algorithm="http://www.w3.org/2001/04/xmlenc#sha256"/>
        <DigestValue>2/KK3OCmxGlxY8tTUGusQQzaceRIsl3pniPg0GO99+c=</DigestValue>
      </Reference>
      <Reference URI="/xl/worksheets/sheet2.xml?ContentType=application/vnd.openxmlformats-officedocument.spreadsheetml.worksheet+xml">
        <DigestMethod Algorithm="http://www.w3.org/2001/04/xmlenc#sha256"/>
        <DigestValue>0wzYfgi+MVQVcqWtbgU5z2XT6PBpfpbrOAAO9Ib1AEA=</DigestValue>
      </Reference>
      <Reference URI="/xl/worksheets/sheet3.xml?ContentType=application/vnd.openxmlformats-officedocument.spreadsheetml.worksheet+xml">
        <DigestMethod Algorithm="http://www.w3.org/2001/04/xmlenc#sha256"/>
        <DigestValue>uIrR1HBliNq1GLfYJHXB33m7eplp0Te/hyQP4nPSjYc=</DigestValue>
      </Reference>
      <Reference URI="/xl/worksheets/sheet4.xml?ContentType=application/vnd.openxmlformats-officedocument.spreadsheetml.worksheet+xml">
        <DigestMethod Algorithm="http://www.w3.org/2001/04/xmlenc#sha256"/>
        <DigestValue>xdRWmbYlqmP42AxVwzzLbt7hDrGhOB9OzR3qP9uLukw=</DigestValue>
      </Reference>
      <Reference URI="/xl/worksheets/sheet5.xml?ContentType=application/vnd.openxmlformats-officedocument.spreadsheetml.worksheet+xml">
        <DigestMethod Algorithm="http://www.w3.org/2001/04/xmlenc#sha256"/>
        <DigestValue>P/i5tqfWoEaAbyHLcfCo0FxraFb4GMwAijA+8DWsPDk=</DigestValue>
      </Reference>
      <Reference URI="/xl/worksheets/sheet6.xml?ContentType=application/vnd.openxmlformats-officedocument.spreadsheetml.worksheet+xml">
        <DigestMethod Algorithm="http://www.w3.org/2001/04/xmlenc#sha256"/>
        <DigestValue>3SnAY7GCqPG2FnTET6dAe4uWdPNsgJ81yX8SdI2E+2M=</DigestValue>
      </Reference>
      <Reference URI="/xl/worksheets/sheet7.xml?ContentType=application/vnd.openxmlformats-officedocument.spreadsheetml.worksheet+xml">
        <DigestMethod Algorithm="http://www.w3.org/2001/04/xmlenc#sha256"/>
        <DigestValue>M1WqUN1xagdzXWuCG2ValuN74jBVdbwS4CdKE76uUcc=</DigestValue>
      </Reference>
      <Reference URI="/xl/worksheets/sheet8.xml?ContentType=application/vnd.openxmlformats-officedocument.spreadsheetml.worksheet+xml">
        <DigestMethod Algorithm="http://www.w3.org/2001/04/xmlenc#sha256"/>
        <DigestValue>xswAOfVIIwDt0QMJYPB0HA/DpymzaUNTsP8kSlserFQ=</DigestValue>
      </Reference>
      <Reference URI="/xl/worksheets/sheet9.xml?ContentType=application/vnd.openxmlformats-officedocument.spreadsheetml.worksheet+xml">
        <DigestMethod Algorithm="http://www.w3.org/2001/04/xmlenc#sha256"/>
        <DigestValue>XoB4E3lBXIAVdeK+PdkcH3SSGDZ1afNJy/p6TiLa0a8=</DigestValue>
      </Reference>
    </Manifest>
    <SignatureProperties>
      <SignatureProperty Id="idSignatureTime" Target="#idPackageSignature">
        <mdssi:SignatureTime xmlns:mdssi="http://schemas.openxmlformats.org/package/2006/digital-signature">
          <mdssi:Format>YYYY-MM-DDThh:mm:ssTZD</mdssi:Format>
          <mdssi:Value>2023-05-16T09:51:51Z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Apoderado</SignatureComments>
          <WindowsVersion>10.0</WindowsVersion>
          <OfficeVersion>16.0.16327/24</OfficeVersion>
          <ApplicationVersion>16.0.16327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2023-05-16T09:51:51Z</xd:SigningTime>
          <xd:SigningCertificate>
            <xd:Cert>
              <xd:CertDigest>
                <DigestMethod Algorithm="http://www.w3.org/2001/04/xmlenc#sha256"/>
                <DigestValue>xo6YrZtFiK8KT/r3ZwppLKRiQ8n9KYTEf61Ur2tbdVg=</DigestValue>
              </xd:CertDigest>
              <xd:IssuerSerial>
                <X509IssuerName>CN=AC Representación, OU=CERES, O=FNMT-RCM, C=ES</X509IssuerName>
                <X509SerialNumber>86707900343073306098854771121437407104</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Aprobó este documento</xd:Description>
            </xd:CommitmentTypeId>
            <xd:AllSignedDataObjects/>
            <xd:CommitmentTypeQualifiers>
              <xd:CommitmentTypeQualifier>Apoderado</xd:CommitmentTypeQualifier>
            </xd:CommitmentTypeQualifiers>
          </xd:CommitmentTypeIndication>
        </xd:SignedDataObjectProperties>
      </xd:SignedProperties>
      <xd:UnsignedProperties>
        <xd:UnsignedSignatureProperties>
          <xd:CertificateValues>
            <xd:EncapsulatedX509Certificate>MIIG3DCCBMSgAwIBAgIQYcLU1PaprndVkma5ja/WITANBgkqhkiG9w0BAQsFADA7MQswCQYDVQQGEwJFUzERMA8GA1UECgwIRk5NVC1SQ00xGTAXBgNVBAsMEEFDIFJBSVogRk5NVC1SQ00wHhcNMTUwNjMwMDk1MTUzWhcNMjkxMjMxMTA1MTUzWjBNMQswCQYDVQQGEwJFUzERMA8GA1UECgwIRk5NVC1SQ00xDjAMBgNVBAsMBUNFUkVTMRswGQYDVQQDDBJBQyBSZXByZXNlbnRhY2nDs24wggEiMA0GCSqGSIb3DQEBAQUAA4IBDwAwggEKAoIBAQDCO7E+oUYbuTJaWkEQtIFgcRHD/kHavy+XBFdfCdUzDh9w7Yq4kYckBPW/YU1QRa4v35HbajEMCs4cyLnoJy8Wyzq7qrSwmNHhMYDjtGywJXbCo5SZVbIwyagWig8Nb/x9Y5WGWIY76E9agPAoEYOxOG8h1J6ipNoBbq0R+4N4ODaq57ABY7mUSXb4WgjoVg4WxxZw0GGLuc8R1idoX1G/VqxvNymeCZ7o1bEwbs7X3NhRsK21w3ju8pkUNZXN6Pkflh9qIslOLiokKbiDwwAZE4nvU//B8Q8FLYk1sgTQTLET2EQZ308FlECRp3i6Ay4iezc0Yd3FKIDmOxCdDUcDAgMBAAGjggLIMIICxDASBgNVHRMBAf8ECDAGAQH/AgEAMA4GA1UdDwEB/wQEAwIBBjAdBgNVHQ4EFgQU3FCWn9cxickR5O+WX/ZfglJGYlMwgZgGCCsGAQUFBwEBBIGLMIGIMEkGCCsGAQUFBzABhj1odHRwOi8vb2NzcGZubXRyY21jYS5jZXJ0LmZubXQuZXMvb2NzcGZubXRyY21jYS9PY3NwUmVzcG9uZGVyMDsGCCsGAQUFBzAChi9odHRwOi8vd3d3LmNlcnQuZm5tdC5lcy9jZXJ0cy9BQ1JBSVpGTk1UUkNNLmNydDAfBgNVHSMEGDAWgBT3fcX9xOiaG3dkp/UdoMy/h2CabTCB6wYDVR0gBIHjMIHgMIHdBgRVHSAAMIHUMCkGCCsGAQUFBwIBFh1odHRwOi8vd3d3LmNlcnQuZm5tdC5lcy9kcGNzLzCBpgYIKwYBBQUHAgIwgZkMgZZTdWpldG8gYSBsYXMgY29uZGljaW9uZXMgZGUgdXNvIGV4cHVlc3RhcyBlbiBsYSBEZWNsYXJhY2nDs24gZGUgUHLDoWN0aWNhcyBkZSBDZXJ0aWZpY2FjacOzbiBkZSBsYSBGTk1ULVJDTSAoIEMvIEpvcmdlIEp1YW4sIDEwNi0yODAwOS1NYWRyaWQtRXNwYcOxYSkwgdQGA1UdHwSBzDCByTCBxqCBw6CBwIaBkGxkYXA6Ly9sZGFwZm5tdC5jZXJ0LmZubXQuZXMvQ049Q1JMLE9VPUFDJTIwUkFJWiUyMEZOTVQtUkNNLE89Rk5NVC1SQ00sQz1FUz9hdXRob3JpdHlSZXZvY2F0aW9uTGlzdDtiaW5hcnk/YmFzZT9vYmplY3RjbGFzcz1jUkxEaXN0cmlidXRpb25Qb2ludIYraHR0cDovL3d3dy5jZXJ0LmZubXQuZXMvY3Jscy9BUkxGTk1UUkNNLmNybDANBgkqhkiG9w0BAQsFAAOCAgEApS/HpvFq3S42VmjXtoNVxdh+m1/NdjoWVY6M2o9c+UZofrZWbaiQ+aNOn6/+Qf/LZk41jD+nEa/O1GkPyAineYtjyW6Ae7ltVPIVIWQa3fALcgyN7s/U31qPooU7Zv7a5mghpxapWHvtL9yxpLjrtGsZD32qysIJ2pjDqJa5WeWVKF2RS1zy6Bm/9JzlxzTCH03kivP5ltp+cHik/KzJZ+HgPv6BLwO+OYrJ19vGbPuDGgOj7uJTG3XQIlZchTltgCmNRPKs/HOGOyDmWxm07FmrADQ1NWag3gjoH8xcfAlp9aBnm/UXFJuAkGOq8ASr+A5dpJeDP/rlKphDdxJpG5YKRwRSb7PnAccstmGxynL+K/0ofxAhbWqC6z7KeGyZBTeVIilPhp+xZzJnvFVBjN6s2j7W3+esQkiT4SdY9RN+c3tBuWF54UNc7YVe6KVTjzkpev9szp6vUNQ+A45i2KGXRLN6/16nA9fujzITRWmX4tOGABo0aL/wBrf3Po89gvZwZRaVQ9Bw/KfEF8eZDhA1MgQKSPJLSXSl58elHGFLUR2CQMGl+mgfPB0qZUUkRG/RYpZLocczAz6pfkxA3Mt3DfIyVtA/YJ0O4ZYpdbH9zdJZI1RQEWmFrMOrEAWmGIG0SmNpARqOPJsTQJomUcvd3EvA7so2LzLJ+Sjj2So=</xd:EncapsulatedX509Certificate>
            <xd:EncapsulatedX509Certificate>MIIFgzCCA2ugAwIBAgIPXZONMGc2yAYdGsdUhGkHMA0GCSqGSIb3DQEBCwUAMDsxCzAJBgNVBAYTAkVTMREwDwYDVQQKDAhGTk1ULVJDTTEZMBcGA1UECwwQQUMgUkFJWiBGTk1ULVJDTTAeFw0wODEwMjkxNTU5NTZaFw0zMDAxMDEwMDAwMDBaMDsxCzAJBgNVBAYTAkVTMREwDwYDVQQKDAhGTk1ULVJDTTEZMBcGA1UECwwQQUMgUkFJWiBGTk1ULVJDTTCCAiIwDQYJKoZIhvcNAQEBBQADggIPADCCAgoCggIBALpxgHpMhm5/yBNtwMZ9HACXjywMI7sQmkCpGreHiPibVmr75nuOi5KOpyVdWRHbNi63URcfqQgfBBckWKo3Shjf5TnUV/3XwSyRAZHiItQDwFj8d0fsjz50Q7qsNI1NOHZnjrDIbzAzWHFctPVrbtQBULgTfmxKo0nRIBnuvMApGGWn3v7v3QqQIecaZ5JCEJhfTzC8PhxFtBDXaEAUwED653cXeuYLj2VbPNmaUtu1vZ5Gzz3rkQUCwJaydkxNEJY7kvqcfw+Z374jNUUeAlz+taibmSXaXvMiwzn15Cou08YfxGyqxRxqAQVKL9LFwag0Jl1mpdICIfkYtwb1TplvqKtMUejPUBjFd8g5CSxJkjKZqLsXF3mwWsXmo8RZZUc1g16p6DULmbvkzSDGm0oGObVo/CK67lWMK07q87Hj/LaZmtVC+nFNCM+HHmpxffnTtOmlcYF7wk5HlqX2doWjKI/pgG6BU6VtX7hI+cL5NqYuSf+4lsKMB7ObiFj86xsc3i1w4peSMKGJ47xVqCfWS+2QrYv6YyVZLag13cqXM7zlzced0ezvXg5KkAYmY6252TUtB7p2ZSysV4999AeU14ECll2jB0nVetBX+RvnU0Z1qrB5QstocQjpYL05ac70r8NWQMetUqIJ5G+GR4of6ygnXYMgrwTJbFaai0b1AgMBAAGjgYMwgYAwDwYDVR0TAQH/BAUwAwEB/zAOBgNVHQ8BAf8EBAMCAQYwHQYDVR0OBBYEFPd9xf3E6Jobd2Sn9R2gzL+HYJptMD4GA1UdIAQ3MDUwMwYEVR0gADArMCkGCCsGAQUFBwIBFh1odHRwOi8vd3d3LmNlcnQuZm5tdC5lcy9kcGNzLzANBgkqhkiG9w0BAQsFAAOCAgEAB5BK3/MjTvDDnFFlm5wioooMhfNzKWtN/gHiqQxjAb8EZ6WdmF/9ARP67Jpi6Yb+tmLSbkyU+8B1RXxlDPiyN8+sD8+Nb/kZ94/sHvJwnvDKuO+3/3Y3dlv2bojzr2IyIpMNOmqOFGYMLVN0V2Ue1bLdI4E7pWYjJ2cJj+F3qkPNZVEI7VFY/uY5+ctHhKQV8Xa7pO6kO8Rf77IzlhEYt8llvhjho6Tc+hj507wTmzl6NLrTQfv6MooqtyuGC2mDOL7Nii4LcK2NJpLuHvUBKwrZ1pebbuCoGRw6IYsMHkCtA+fdZn71uSANA+iW+YJF1DngoABd15jmfZ5nc8OaKveri6E6FO80vFIOiZiaBECEHX5FaZNXzuvO+FB8TxxuBEOb+dY7Ixjp6o7RTUaN8Tvkasq6+yO3m/qZASlaWFot4/nUbQ4mrcFuNLwy+AwF+mWj2zs3gyLp1txyM/1d8iC9djwj2ij3+RvrWWTV3F9yfiD8zYm1kGdNYno/Tq0dwzn+evQoFt9B9kiABdcPUXmsEKvU7ANm5mqwujGSQkBqvjrTcuFqN1W8rB2Vt2lh8kORdOag0wokRqEIr9baRRmW1FMdW4R58MD3R++Lj8UGrp1MYp3/RgT408m2ECVAdf4WqslKYIYvuu8wd+RU4riEmViAqhOLUTpPSPaLtrM=</xd:EncapsulatedX509Certificate>
          </xd:CertificateValues>
        </xd:UnsignedSignatureProperties>
      </xd:UnsignedProperties>
    </xd:QualifyingProperties>
  </Object>
</Signatur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SharedWithUsers xmlns="b2868264-872a-43cf-bd30-b9ccafd845a5">
      <UserInfo>
        <DisplayName>RODRÍGUEZ ALQUEZAR, Yolanda</DisplayName>
        <AccountId>41</AccountId>
        <AccountType/>
      </UserInfo>
      <UserInfo>
        <DisplayName>KONTRATAZIOA IZFE</DisplayName>
        <AccountId>59</AccountId>
        <AccountType/>
      </UserInfo>
    </SharedWithUsers>
    <Version0 xmlns="01ace55d-0d43-4b7d-9dcb-4ec19ffdef03">1.0</Version0>
    <Observaciones xmlns="01ace55d-0d43-4b7d-9dcb-4ec19ffdef03" xsi:nil="true"/>
    <Changelog xmlns="01ace55d-0d43-4b7d-9dcb-4ec19ffdef0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o" ma:contentTypeID="0x010100C6D392A3A8805449A129303310DA4607" ma:contentTypeVersion="8" ma:contentTypeDescription="Crear nuevo documento." ma:contentTypeScope="" ma:versionID="c4184106a5691f5d78ac8000d98a171a">
  <xsd:schema xmlns:xsd="http://www.w3.org/2001/XMLSchema" xmlns:xs="http://www.w3.org/2001/XMLSchema" xmlns:p="http://schemas.microsoft.com/office/2006/metadata/properties" xmlns:ns2="01ace55d-0d43-4b7d-9dcb-4ec19ffdef03" xmlns:ns3="b2868264-872a-43cf-bd30-b9ccafd845a5" targetNamespace="http://schemas.microsoft.com/office/2006/metadata/properties" ma:root="true" ma:fieldsID="45fe7f1bb967a29cba4aba18b4a71c35" ns2:_="" ns3:_="">
    <xsd:import namespace="01ace55d-0d43-4b7d-9dcb-4ec19ffdef03"/>
    <xsd:import namespace="b2868264-872a-43cf-bd30-b9ccafd845a5"/>
    <xsd:element name="properties">
      <xsd:complexType>
        <xsd:sequence>
          <xsd:element name="documentManagement">
            <xsd:complexType>
              <xsd:all>
                <xsd:element ref="ns2:Version0" minOccurs="0"/>
                <xsd:element ref="ns2:Observaciones" minOccurs="0"/>
                <xsd:element ref="ns2:Changelog" minOccurs="0"/>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ace55d-0d43-4b7d-9dcb-4ec19ffdef03" elementFormDefault="qualified">
    <xsd:import namespace="http://schemas.microsoft.com/office/2006/documentManagement/types"/>
    <xsd:import namespace="http://schemas.microsoft.com/office/infopath/2007/PartnerControls"/>
    <xsd:element name="Version0" ma:index="2" nillable="true" ma:displayName="Version" ma:internalName="Version0" ma:readOnly="false">
      <xsd:simpleType>
        <xsd:restriction base="dms:Text">
          <xsd:maxLength value="255"/>
        </xsd:restriction>
      </xsd:simpleType>
    </xsd:element>
    <xsd:element name="Observaciones" ma:index="3" nillable="true" ma:displayName="Observaciones" ma:format="Dropdown" ma:internalName="Observaciones" ma:readOnly="false">
      <xsd:simpleType>
        <xsd:restriction base="dms:Note">
          <xsd:maxLength value="255"/>
        </xsd:restriction>
      </xsd:simpleType>
    </xsd:element>
    <xsd:element name="Changelog" ma:index="4" nillable="true" ma:displayName="Changelog" ma:format="Dropdown" ma:internalName="Changelog" ma:readOnly="false">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2868264-872a-43cf-bd30-b9ccafd845a5" elementFormDefault="qualified">
    <xsd:import namespace="http://schemas.microsoft.com/office/2006/documentManagement/types"/>
    <xsd:import namespace="http://schemas.microsoft.com/office/infopath/2007/PartnerControls"/>
    <xsd:element name="SharedWithUsers" ma:index="10"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47ABD3-1E02-45FA-A332-AD2F0DEE5CA7}">
  <ds:schemaRefs>
    <ds:schemaRef ds:uri="http://schemas.microsoft.com/DataMashup"/>
  </ds:schemaRefs>
</ds:datastoreItem>
</file>

<file path=customXml/itemProps2.xml><?xml version="1.0" encoding="utf-8"?>
<ds:datastoreItem xmlns:ds="http://schemas.openxmlformats.org/officeDocument/2006/customXml" ds:itemID="{3D2761AE-3881-45B4-8AB6-5944A6987AC7}">
  <ds:schemaRefs>
    <ds:schemaRef ds:uri="http://purl.org/dc/dcmitype/"/>
    <ds:schemaRef ds:uri="http://purl.org/dc/elements/1.1/"/>
    <ds:schemaRef ds:uri="http://schemas.microsoft.com/office/2006/documentManagement/types"/>
    <ds:schemaRef ds:uri="http://schemas.openxmlformats.org/package/2006/metadata/core-properties"/>
    <ds:schemaRef ds:uri="01ace55d-0d43-4b7d-9dcb-4ec19ffdef03"/>
    <ds:schemaRef ds:uri="http://purl.org/dc/terms/"/>
    <ds:schemaRef ds:uri="http://www.w3.org/XML/1998/namespace"/>
    <ds:schemaRef ds:uri="http://schemas.microsoft.com/office/infopath/2007/PartnerControls"/>
    <ds:schemaRef ds:uri="b2868264-872a-43cf-bd30-b9ccafd845a5"/>
    <ds:schemaRef ds:uri="http://schemas.microsoft.com/office/2006/metadata/properties"/>
  </ds:schemaRefs>
</ds:datastoreItem>
</file>

<file path=customXml/itemProps3.xml><?xml version="1.0" encoding="utf-8"?>
<ds:datastoreItem xmlns:ds="http://schemas.openxmlformats.org/officeDocument/2006/customXml" ds:itemID="{B91462BA-9832-4847-8A3D-83B42F23B344}">
  <ds:schemaRefs>
    <ds:schemaRef ds:uri="http://schemas.microsoft.com/sharepoint/v3/contenttype/forms"/>
  </ds:schemaRefs>
</ds:datastoreItem>
</file>

<file path=customXml/itemProps4.xml><?xml version="1.0" encoding="utf-8"?>
<ds:datastoreItem xmlns:ds="http://schemas.openxmlformats.org/officeDocument/2006/customXml" ds:itemID="{FF0244BD-D4C1-4E80-AFA4-AC12988A3F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ace55d-0d43-4b7d-9dcb-4ec19ffdef03"/>
    <ds:schemaRef ds:uri="b2868264-872a-43cf-bd30-b9ccafd845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38</vt:i4>
      </vt:variant>
    </vt:vector>
  </HeadingPairs>
  <TitlesOfParts>
    <vt:vector size="48" baseType="lpstr">
      <vt:lpstr>Contenido de las ofertas</vt:lpstr>
      <vt:lpstr>Criterios de adjudicación</vt:lpstr>
      <vt:lpstr>Anexo valoraciones</vt:lpstr>
      <vt:lpstr>Resumen global</vt:lpstr>
      <vt:lpstr>Resolucion</vt:lpstr>
      <vt:lpstr>Aux-Resolucion</vt:lpstr>
      <vt:lpstr>Homologación</vt:lpstr>
      <vt:lpstr>Entornos</vt:lpstr>
      <vt:lpstr>EMPRESA</vt:lpstr>
      <vt:lpstr>Medios humanos</vt:lpstr>
      <vt:lpstr>'Contenido de las ofertas'!Área_de_impresión</vt:lpstr>
      <vt:lpstr>BAJA_para_otorgar_puntuación_máxima</vt:lpstr>
      <vt:lpstr>BajaDesproporcionada</vt:lpstr>
      <vt:lpstr>Bmax</vt:lpstr>
      <vt:lpstr>empresas1</vt:lpstr>
      <vt:lpstr>empresas2</vt:lpstr>
      <vt:lpstr>empresas3</vt:lpstr>
      <vt:lpstr>empresas4</vt:lpstr>
      <vt:lpstr>empresas5</vt:lpstr>
      <vt:lpstr>entornos1</vt:lpstr>
      <vt:lpstr>entornos2</vt:lpstr>
      <vt:lpstr>entornos3</vt:lpstr>
      <vt:lpstr>entornos4</vt:lpstr>
      <vt:lpstr>entornos5</vt:lpstr>
      <vt:lpstr>Formapago_A</vt:lpstr>
      <vt:lpstr>formapago_H</vt:lpstr>
      <vt:lpstr>Formapago_P</vt:lpstr>
      <vt:lpstr>listaPrecios</vt:lpstr>
      <vt:lpstr>lotes</vt:lpstr>
      <vt:lpstr>lotes1</vt:lpstr>
      <vt:lpstr>OfertaMasBaja</vt:lpstr>
      <vt:lpstr>Omin</vt:lpstr>
      <vt:lpstr>perfiles</vt:lpstr>
      <vt:lpstr>perfiles1</vt:lpstr>
      <vt:lpstr>perfiles2</vt:lpstr>
      <vt:lpstr>perfiles3</vt:lpstr>
      <vt:lpstr>perfiles4</vt:lpstr>
      <vt:lpstr>perfiles5</vt:lpstr>
      <vt:lpstr>Precio_hora</vt:lpstr>
      <vt:lpstr>Precio_oferta</vt:lpstr>
      <vt:lpstr>PrecioMaximo</vt:lpstr>
      <vt:lpstr>PuntosPrecio</vt:lpstr>
      <vt:lpstr>recursos1</vt:lpstr>
      <vt:lpstr>recursos2</vt:lpstr>
      <vt:lpstr>recursos3</vt:lpstr>
      <vt:lpstr>si_no</vt:lpstr>
      <vt:lpstr>Tabla_ParaGenerar_resolucion</vt:lpstr>
      <vt:lpstr>xx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Gorka Blanco</dc:creator>
  <cp:keywords/>
  <dc:description/>
  <cp:lastModifiedBy>Miguel Roldan Ezponda</cp:lastModifiedBy>
  <cp:revision/>
  <dcterms:created xsi:type="dcterms:W3CDTF">2021-11-11T10:53:12Z</dcterms:created>
  <dcterms:modified xsi:type="dcterms:W3CDTF">2023-05-12T12:33:32Z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0x010100C6D392A3A8805449A129303310DA4607</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

<file path=userCustomization/customUI.xml><?xml version="1.0" encoding="utf-8"?>
<mso:customUI xmlns:doc="http://schemas.microsoft.com/office/2006/01/customui/currentDocument" xmlns:mso="http://schemas.microsoft.com/office/2006/01/customui">
  <mso:ribbon>
    <mso:qat>
      <mso:documentControls>
        <mso:button idQ="doc:MHFormulas_1" visible="true" label="Mantener medios humanos" imageMso="CondolatoryEvent" onAction="MHFormulas"/>
        <mso:button idQ="doc:MHSubjetivos_1" visible="true" label="Quitar medios humanos" imageMso="Head" onAction="MHSubjetivos"/>
      </mso:documentControls>
    </mso:qat>
  </mso:ribbon>
</mso:customUI>
</file>