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neak\Kontratazioak\KONTRATAZIOAK 2023\PERFIL DEL CONTRATANTE 2023\24783_SRV DE LIMPIEZA EN INSTALACIONES ESTACIONES WCs AUTOLIMP JARDINERIA\"/>
    </mc:Choice>
  </mc:AlternateContent>
  <xr:revisionPtr revIDLastSave="0" documentId="13_ncr:1_{BAAC829C-08ED-4B88-8B9C-58806BE11CB4}" xr6:coauthVersionLast="36" xr6:coauthVersionMax="36" xr10:uidLastSave="{00000000-0000-0000-0000-000000000000}"/>
  <bookViews>
    <workbookView xWindow="0" yWindow="0" windowWidth="19200" windowHeight="11385" xr2:uid="{75321679-B64A-4A75-B3C5-78C4035911D9}"/>
  </bookViews>
  <sheets>
    <sheet name="LOTE 1" sheetId="2" r:id="rId1"/>
    <sheet name="LOTE 2" sheetId="4" r:id="rId2"/>
    <sheet name="LOTE 3" sheetId="3" r:id="rId3"/>
    <sheet name="LOTE 4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2" l="1"/>
  <c r="E68" i="2"/>
  <c r="C11" i="3" l="1"/>
  <c r="D45" i="4" l="1"/>
  <c r="C45" i="4"/>
  <c r="C35" i="4"/>
  <c r="D15" i="4" l="1"/>
  <c r="C15" i="4"/>
  <c r="E5" i="5" l="1"/>
  <c r="C6" i="5"/>
  <c r="D11" i="3" l="1"/>
  <c r="D10" i="3"/>
  <c r="D9" i="3"/>
  <c r="D8" i="3"/>
  <c r="D7" i="3"/>
  <c r="D6" i="3"/>
  <c r="C8" i="3"/>
  <c r="C10" i="3"/>
  <c r="C9" i="3"/>
  <c r="C6" i="3"/>
  <c r="C7" i="3"/>
  <c r="C5" i="3"/>
  <c r="D5" i="3"/>
  <c r="F12" i="3" l="1"/>
  <c r="D7" i="2"/>
  <c r="C7" i="2"/>
  <c r="C8" i="2"/>
  <c r="C10" i="2"/>
  <c r="C9" i="2"/>
  <c r="D10" i="2"/>
  <c r="C24" i="2"/>
  <c r="D28" i="2"/>
  <c r="D26" i="2"/>
  <c r="C26" i="2"/>
  <c r="C28" i="2"/>
  <c r="D35" i="2"/>
  <c r="C35" i="2"/>
  <c r="D36" i="2"/>
  <c r="C36" i="2"/>
  <c r="D34" i="2"/>
  <c r="C34" i="2"/>
  <c r="D33" i="2"/>
  <c r="C33" i="2"/>
  <c r="D32" i="2"/>
  <c r="C32" i="2"/>
  <c r="D31" i="2"/>
  <c r="C31" i="2"/>
  <c r="C30" i="2"/>
  <c r="C29" i="2"/>
  <c r="D29" i="2"/>
  <c r="D25" i="2"/>
  <c r="C25" i="2"/>
  <c r="D23" i="2"/>
  <c r="C23" i="2"/>
  <c r="D39" i="2" l="1"/>
  <c r="C39" i="2"/>
  <c r="C22" i="2" l="1"/>
  <c r="D22" i="2"/>
  <c r="D15" i="2"/>
  <c r="C21" i="2"/>
  <c r="C14" i="2"/>
  <c r="D11" i="2"/>
  <c r="C11" i="2"/>
  <c r="C15" i="2" l="1"/>
  <c r="D21" i="2"/>
  <c r="D20" i="2"/>
  <c r="C20" i="2"/>
  <c r="C16" i="2" l="1"/>
  <c r="E19" i="2"/>
  <c r="E18" i="2"/>
  <c r="E22" i="2"/>
  <c r="F22" i="2" s="1"/>
  <c r="E17" i="2"/>
  <c r="E16" i="2"/>
  <c r="F16" i="2" s="1"/>
  <c r="E11" i="2"/>
  <c r="E15" i="2"/>
  <c r="F15" i="2" s="1"/>
  <c r="E14" i="2"/>
  <c r="E13" i="2"/>
  <c r="E12" i="2"/>
  <c r="F18" i="2" l="1"/>
  <c r="F19" i="2"/>
  <c r="F14" i="2"/>
  <c r="F11" i="2"/>
  <c r="F12" i="2"/>
  <c r="F17" i="2"/>
  <c r="F13" i="2"/>
  <c r="E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C26" i="4" l="1"/>
  <c r="D26" i="4"/>
  <c r="E34" i="2"/>
  <c r="F34" i="2" l="1"/>
  <c r="F9" i="5"/>
  <c r="E47" i="4"/>
  <c r="F47" i="4" s="1"/>
  <c r="E46" i="4"/>
  <c r="F46" i="4" s="1"/>
  <c r="E45" i="4"/>
  <c r="E44" i="4"/>
  <c r="F44" i="4" s="1"/>
  <c r="E43" i="4"/>
  <c r="F43" i="4" s="1"/>
  <c r="E42" i="4"/>
  <c r="F42" i="4" s="1"/>
  <c r="E41" i="4"/>
  <c r="F41" i="4" s="1"/>
  <c r="E40" i="4"/>
  <c r="F40" i="4" s="1"/>
  <c r="E39" i="4"/>
  <c r="E38" i="4"/>
  <c r="F38" i="4" s="1"/>
  <c r="E37" i="4"/>
  <c r="E36" i="4"/>
  <c r="F36" i="4" s="1"/>
  <c r="E35" i="4"/>
  <c r="E34" i="4"/>
  <c r="F34" i="4" s="1"/>
  <c r="E33" i="4"/>
  <c r="E32" i="4"/>
  <c r="F32" i="4" s="1"/>
  <c r="E31" i="4"/>
  <c r="F31" i="4" s="1"/>
  <c r="E30" i="4"/>
  <c r="F30" i="4" s="1"/>
  <c r="E25" i="4"/>
  <c r="E24" i="4"/>
  <c r="E23" i="4"/>
  <c r="E22" i="4"/>
  <c r="E20" i="4"/>
  <c r="E19" i="4"/>
  <c r="E18" i="4"/>
  <c r="E17" i="4"/>
  <c r="E16" i="4"/>
  <c r="E15" i="4"/>
  <c r="E29" i="4"/>
  <c r="E13" i="4"/>
  <c r="E12" i="4"/>
  <c r="E11" i="4"/>
  <c r="E10" i="4"/>
  <c r="D28" i="4"/>
  <c r="D27" i="4"/>
  <c r="F39" i="4" l="1"/>
  <c r="F35" i="4"/>
  <c r="F29" i="4"/>
  <c r="F37" i="4"/>
  <c r="F33" i="4"/>
  <c r="F45" i="4"/>
  <c r="F25" i="4"/>
  <c r="F24" i="4"/>
  <c r="F23" i="4"/>
  <c r="F22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D47" i="4"/>
  <c r="C47" i="4"/>
  <c r="C46" i="4"/>
  <c r="D44" i="4"/>
  <c r="C44" i="4"/>
  <c r="C43" i="4"/>
  <c r="C42" i="4"/>
  <c r="D41" i="4"/>
  <c r="C41" i="4"/>
  <c r="C40" i="4"/>
  <c r="D34" i="4"/>
  <c r="C34" i="4"/>
  <c r="C31" i="4"/>
  <c r="D30" i="4"/>
  <c r="C30" i="4"/>
  <c r="D23" i="4"/>
  <c r="D22" i="4"/>
  <c r="D21" i="4"/>
  <c r="C21" i="4"/>
  <c r="C20" i="4"/>
  <c r="C19" i="4"/>
  <c r="D18" i="4"/>
  <c r="C18" i="4"/>
  <c r="C16" i="4"/>
  <c r="F55" i="4" l="1"/>
  <c r="F24" i="2" l="1"/>
  <c r="D24" i="2"/>
  <c r="E36" i="2"/>
  <c r="E35" i="2"/>
  <c r="E33" i="2"/>
  <c r="E32" i="2"/>
  <c r="E31" i="2"/>
  <c r="E28" i="2"/>
  <c r="E27" i="2"/>
  <c r="E26" i="2"/>
  <c r="E25" i="2"/>
  <c r="E23" i="2"/>
  <c r="F26" i="2" l="1"/>
  <c r="F27" i="2"/>
  <c r="F31" i="2"/>
  <c r="F25" i="2"/>
  <c r="F35" i="2"/>
  <c r="F36" i="2"/>
  <c r="F28" i="2"/>
  <c r="F23" i="2"/>
  <c r="F32" i="2"/>
  <c r="F33" i="2"/>
  <c r="E47" i="2"/>
  <c r="E46" i="2"/>
  <c r="E45" i="2"/>
  <c r="E44" i="2"/>
  <c r="E43" i="2"/>
  <c r="E42" i="2"/>
  <c r="E41" i="2"/>
  <c r="E40" i="2"/>
  <c r="E39" i="2"/>
  <c r="E38" i="2"/>
  <c r="E37" i="2"/>
  <c r="E21" i="2"/>
  <c r="E20" i="2"/>
  <c r="E9" i="2"/>
  <c r="E8" i="2"/>
  <c r="E7" i="2"/>
  <c r="E70" i="2"/>
  <c r="F70" i="2" s="1"/>
  <c r="E69" i="2"/>
  <c r="F69" i="2" s="1"/>
  <c r="F68" i="2"/>
  <c r="F67" i="2"/>
  <c r="E66" i="2"/>
  <c r="F66" i="2" s="1"/>
  <c r="E65" i="2"/>
  <c r="F65" i="2" s="1"/>
  <c r="E64" i="2"/>
  <c r="F64" i="2" s="1"/>
  <c r="F45" i="2" l="1"/>
  <c r="F46" i="2"/>
  <c r="F39" i="2"/>
  <c r="F20" i="2"/>
  <c r="F71" i="2" s="1"/>
  <c r="F21" i="2"/>
  <c r="F47" i="2"/>
  <c r="F42" i="2"/>
  <c r="F41" i="2"/>
  <c r="F37" i="2"/>
  <c r="F40" i="2"/>
  <c r="F43" i="2"/>
  <c r="F38" i="2"/>
  <c r="F44" i="2"/>
  <c r="G71" i="2" l="1"/>
</calcChain>
</file>

<file path=xl/sharedStrings.xml><?xml version="1.0" encoding="utf-8"?>
<sst xmlns="http://schemas.openxmlformats.org/spreadsheetml/2006/main" count="221" uniqueCount="145">
  <si>
    <t>LEBARIO</t>
  </si>
  <si>
    <t>LEIOA</t>
  </si>
  <si>
    <t>LABORABLES</t>
  </si>
  <si>
    <t>MANTENIMIENTO</t>
  </si>
  <si>
    <t>ARASO</t>
  </si>
  <si>
    <t>AMARA</t>
  </si>
  <si>
    <t>OFICINAS</t>
  </si>
  <si>
    <t>DEPENDENCIA</t>
  </si>
  <si>
    <t>FESTIVOS</t>
  </si>
  <si>
    <t>PM ATXURI</t>
  </si>
  <si>
    <t>OFICINAS ATXURI</t>
  </si>
  <si>
    <t xml:space="preserve">SINDICATOS </t>
  </si>
  <si>
    <t>OFICINAS CASCO VIEJO</t>
  </si>
  <si>
    <t>RAMAL</t>
  </si>
  <si>
    <t>GERNIKA</t>
  </si>
  <si>
    <t>BERMEO</t>
  </si>
  <si>
    <t>APEADERO</t>
  </si>
  <si>
    <t>ZUGASTIETA</t>
  </si>
  <si>
    <t>MUXIKA</t>
  </si>
  <si>
    <t>SUKARRIETA</t>
  </si>
  <si>
    <t>MUNDAKA</t>
  </si>
  <si>
    <t>LURGORRI</t>
  </si>
  <si>
    <t>INSTITUTOA</t>
  </si>
  <si>
    <t>FORUA</t>
  </si>
  <si>
    <t>SAN KRISTOBAL</t>
  </si>
  <si>
    <t>AXPE</t>
  </si>
  <si>
    <t>GENERAL</t>
  </si>
  <si>
    <t xml:space="preserve">ATXURI </t>
  </si>
  <si>
    <t>BOLUETA</t>
  </si>
  <si>
    <t>DURANGO</t>
  </si>
  <si>
    <t>ETXEBARRI</t>
  </si>
  <si>
    <t>LEMOA</t>
  </si>
  <si>
    <t>AMOREBIETA</t>
  </si>
  <si>
    <t>EUBA</t>
  </si>
  <si>
    <t>ARIZ</t>
  </si>
  <si>
    <t>USANSOLO</t>
  </si>
  <si>
    <t>TRAÑA</t>
  </si>
  <si>
    <t>BERRIZ</t>
  </si>
  <si>
    <t>ZUHATZU</t>
  </si>
  <si>
    <t>BEDIA</t>
  </si>
  <si>
    <t>APEADERO ZALDIBAR</t>
  </si>
  <si>
    <t>TXORIERRI</t>
  </si>
  <si>
    <t xml:space="preserve">DERIO </t>
  </si>
  <si>
    <t>SONDIKA</t>
  </si>
  <si>
    <t>LEZAMA</t>
  </si>
  <si>
    <t>LARRONDO</t>
  </si>
  <si>
    <t>ZAMUDIO</t>
  </si>
  <si>
    <t>LA CRUZ</t>
  </si>
  <si>
    <t>LEKUNBIZ</t>
  </si>
  <si>
    <t>ELOTXELERRI</t>
  </si>
  <si>
    <t>OLA</t>
  </si>
  <si>
    <t>SANGRONIZ</t>
  </si>
  <si>
    <t>LUTXANA</t>
  </si>
  <si>
    <t>TRANVIA</t>
  </si>
  <si>
    <t>RIBERA</t>
  </si>
  <si>
    <t>ABANDO</t>
  </si>
  <si>
    <t>ARRIAGA</t>
  </si>
  <si>
    <t>PIO BAROJA</t>
  </si>
  <si>
    <t>URIBITARTE</t>
  </si>
  <si>
    <t>GUGGENHEIM</t>
  </si>
  <si>
    <t>ABANDOIBARRA</t>
  </si>
  <si>
    <t>EUSKALDUNA</t>
  </si>
  <si>
    <t>SABINO ARANA</t>
  </si>
  <si>
    <t>SAN MAMES</t>
  </si>
  <si>
    <t>HOSPITAL</t>
  </si>
  <si>
    <t>BASURTO</t>
  </si>
  <si>
    <t>LA CASILLA</t>
  </si>
  <si>
    <t>AUTOLIMPIABLES</t>
  </si>
  <si>
    <t>PRECIO ANUAL POR DEPENDENCIA</t>
  </si>
  <si>
    <t>ABUSU</t>
  </si>
  <si>
    <t>PERIODICAS</t>
  </si>
  <si>
    <t>JARDINERIA</t>
  </si>
  <si>
    <t>HORAS ANUALES ESPECIALISTA</t>
  </si>
  <si>
    <t>LÍNEA</t>
  </si>
  <si>
    <t>LOTE Nº1 HORAS Y PRECIO POR DEPENDENCIA ANUAL</t>
  </si>
  <si>
    <t>LOTE Nº3 HORAS Y PRECIO POR DEPENDENCIA ANUAL</t>
  </si>
  <si>
    <t>URIBARRI</t>
  </si>
  <si>
    <t>CASCO VIEJO</t>
  </si>
  <si>
    <t>KUKULLAGA</t>
  </si>
  <si>
    <t>TXURDINAGA</t>
  </si>
  <si>
    <t>ZURBARANBARRI</t>
  </si>
  <si>
    <t>OTXARKOAGA</t>
  </si>
  <si>
    <t>MATIKO</t>
  </si>
  <si>
    <t xml:space="preserve">LÍNEA 3 </t>
  </si>
  <si>
    <t>ERMUA</t>
  </si>
  <si>
    <t>ARDANTZA</t>
  </si>
  <si>
    <t>AMAÑA</t>
  </si>
  <si>
    <t>EIBAR</t>
  </si>
  <si>
    <t>DEBA</t>
  </si>
  <si>
    <t>ZUMAIA</t>
  </si>
  <si>
    <t>ZARAUTZ</t>
  </si>
  <si>
    <t>AIA</t>
  </si>
  <si>
    <t>ELGOIBAR</t>
  </si>
  <si>
    <t>MENDARO</t>
  </si>
  <si>
    <t>USURBIL</t>
  </si>
  <si>
    <t>AZITAIN</t>
  </si>
  <si>
    <t>ERROTABERRI</t>
  </si>
  <si>
    <t>SAN LORENZO</t>
  </si>
  <si>
    <t>C. AGENTES EIBAR</t>
  </si>
  <si>
    <t>UNIBERTSITATEA</t>
  </si>
  <si>
    <t>TOLETXEGAIN</t>
  </si>
  <si>
    <t>ALTZOLA</t>
  </si>
  <si>
    <t>ARROA</t>
  </si>
  <si>
    <t>SAN PELAIO</t>
  </si>
  <si>
    <t>INTXAURRONDO</t>
  </si>
  <si>
    <t>ALTZA</t>
  </si>
  <si>
    <t>LASARTE</t>
  </si>
  <si>
    <t>LUGARITZ</t>
  </si>
  <si>
    <t>ANOETA</t>
  </si>
  <si>
    <t>PASAIA</t>
  </si>
  <si>
    <t>HERRERA</t>
  </si>
  <si>
    <t>GALTZARABORDA</t>
  </si>
  <si>
    <t>RENTERIA</t>
  </si>
  <si>
    <t>FANDERIA</t>
  </si>
  <si>
    <t>OIARTZUN</t>
  </si>
  <si>
    <t>IRUN COLON</t>
  </si>
  <si>
    <t>LOIOLA</t>
  </si>
  <si>
    <t>HENDAIA</t>
  </si>
  <si>
    <t xml:space="preserve">AÑORGA </t>
  </si>
  <si>
    <t>ERREKALDE</t>
  </si>
  <si>
    <t>BENTAK</t>
  </si>
  <si>
    <t>BELASKOENEA</t>
  </si>
  <si>
    <t>GAINTXURIZKETA</t>
  </si>
  <si>
    <t>FIKOBA</t>
  </si>
  <si>
    <t>TOPO</t>
  </si>
  <si>
    <t>T. HORAS</t>
  </si>
  <si>
    <t>ALBIA</t>
  </si>
  <si>
    <t>LOTE 4</t>
  </si>
  <si>
    <t>LOTE Nº4 HORAS Y PRECIO POR DEPENDENCIA ANUAL</t>
  </si>
  <si>
    <t>EDIFICIO ASKAO</t>
  </si>
  <si>
    <t>NOCTURNO</t>
  </si>
  <si>
    <t>ESPECIALISTA</t>
  </si>
  <si>
    <t xml:space="preserve">ARIZ ESTACION </t>
  </si>
  <si>
    <t>ARIZ MERCANCIAS</t>
  </si>
  <si>
    <t>GARAJES</t>
  </si>
  <si>
    <t>OFICINAS ATXURI  Y SINDICATOS</t>
  </si>
  <si>
    <t>CATEGORIA</t>
  </si>
  <si>
    <t>LABORABLE*</t>
  </si>
  <si>
    <t>MAQUINARIA Y MEDIOS AUXILIARES</t>
  </si>
  <si>
    <t>* Hasta sábado medio día</t>
  </si>
  <si>
    <t>HORAS ANUALES  LIMPIEZA LIMPIADOR/A</t>
  </si>
  <si>
    <t>PRECIO HORA TRABAJOS NO PREVISTOS</t>
  </si>
  <si>
    <t>LIMPIADOR/A</t>
  </si>
  <si>
    <t>HORAS ANUALES  LIMPIEZA OPERARIO/A</t>
  </si>
  <si>
    <t>PRECIO HORA TRABAJOS NO  PREVISTOS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</si>
</sst>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8"/>
      <color theme="1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4" fontId="0" fillId="0" borderId="8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4" fontId="0" fillId="2" borderId="5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4" fontId="0" fillId="2" borderId="8" xfId="0" applyNumberFormat="1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4" fontId="0" fillId="0" borderId="8" xfId="0" applyNumberFormat="1" applyFont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4" fontId="0" fillId="0" borderId="2" xfId="0" applyNumberFormat="1" applyFont="1" applyBorder="1" applyAlignment="1">
      <alignment horizontal="center" vertical="center"/>
    </xf>
    <xf numFmtId="164" fontId="0" fillId="2" borderId="5" xfId="0" applyNumberFormat="1" applyFont="1" applyFill="1" applyBorder="1" applyAlignment="1">
      <alignment horizontal="center" vertical="center"/>
    </xf>
    <xf numFmtId="164" fontId="0" fillId="2" borderId="8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4" fontId="0" fillId="0" borderId="33" xfId="0" applyNumberFormat="1" applyFont="1" applyBorder="1" applyAlignment="1">
      <alignment horizontal="center" vertical="center"/>
    </xf>
    <xf numFmtId="164" fontId="0" fillId="2" borderId="6" xfId="0" applyNumberFormat="1" applyFont="1" applyFill="1" applyBorder="1" applyAlignment="1">
      <alignment horizontal="center" vertical="center"/>
    </xf>
    <xf numFmtId="164" fontId="0" fillId="2" borderId="29" xfId="0" applyNumberFormat="1" applyFont="1" applyFill="1" applyBorder="1" applyAlignment="1">
      <alignment horizontal="center" vertical="center"/>
    </xf>
    <xf numFmtId="164" fontId="0" fillId="2" borderId="9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4" fontId="0" fillId="0" borderId="3" xfId="0" applyNumberFormat="1" applyFont="1" applyFill="1" applyBorder="1" applyAlignment="1">
      <alignment horizontal="center" vertical="center"/>
    </xf>
    <xf numFmtId="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10" xfId="0" applyFont="1" applyFill="1" applyBorder="1"/>
    <xf numFmtId="4" fontId="0" fillId="2" borderId="11" xfId="0" applyNumberFormat="1" applyFont="1" applyFill="1" applyBorder="1"/>
    <xf numFmtId="0" fontId="0" fillId="2" borderId="4" xfId="0" applyFont="1" applyFill="1" applyBorder="1"/>
    <xf numFmtId="4" fontId="0" fillId="2" borderId="5" xfId="0" applyNumberFormat="1" applyFont="1" applyFill="1" applyBorder="1"/>
    <xf numFmtId="0" fontId="0" fillId="2" borderId="28" xfId="0" applyFont="1" applyFill="1" applyBorder="1"/>
    <xf numFmtId="4" fontId="0" fillId="2" borderId="1" xfId="0" applyNumberFormat="1" applyFont="1" applyFill="1" applyBorder="1"/>
    <xf numFmtId="4" fontId="0" fillId="2" borderId="8" xfId="0" applyNumberFormat="1" applyFont="1" applyFill="1" applyBorder="1"/>
    <xf numFmtId="0" fontId="0" fillId="2" borderId="22" xfId="0" applyFont="1" applyFill="1" applyBorder="1"/>
    <xf numFmtId="0" fontId="0" fillId="2" borderId="1" xfId="0" applyFont="1" applyFill="1" applyBorder="1"/>
    <xf numFmtId="0" fontId="0" fillId="2" borderId="31" xfId="0" applyFont="1" applyFill="1" applyBorder="1"/>
    <xf numFmtId="0" fontId="0" fillId="2" borderId="15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0" fillId="0" borderId="21" xfId="0" applyFont="1" applyFill="1" applyBorder="1"/>
    <xf numFmtId="4" fontId="0" fillId="0" borderId="3" xfId="0" applyNumberFormat="1" applyFont="1" applyFill="1" applyBorder="1"/>
    <xf numFmtId="0" fontId="0" fillId="0" borderId="22" xfId="0" applyFont="1" applyFill="1" applyBorder="1"/>
    <xf numFmtId="4" fontId="0" fillId="0" borderId="1" xfId="0" applyNumberFormat="1" applyFont="1" applyFill="1" applyBorder="1"/>
    <xf numFmtId="0" fontId="0" fillId="0" borderId="1" xfId="0" applyFont="1" applyFill="1" applyBorder="1"/>
    <xf numFmtId="0" fontId="0" fillId="0" borderId="31" xfId="0" applyFont="1" applyFill="1" applyBorder="1"/>
    <xf numFmtId="4" fontId="0" fillId="0" borderId="8" xfId="0" applyNumberFormat="1" applyFont="1" applyFill="1" applyBorder="1"/>
    <xf numFmtId="4" fontId="0" fillId="0" borderId="34" xfId="0" applyNumberFormat="1" applyFont="1" applyBorder="1" applyAlignment="1">
      <alignment horizontal="center" vertical="center"/>
    </xf>
    <xf numFmtId="4" fontId="0" fillId="0" borderId="35" xfId="0" applyNumberFormat="1" applyFont="1" applyBorder="1" applyAlignment="1">
      <alignment horizontal="center" vertical="center"/>
    </xf>
    <xf numFmtId="4" fontId="0" fillId="0" borderId="32" xfId="0" applyNumberFormat="1" applyFont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164" fontId="0" fillId="0" borderId="24" xfId="0" applyNumberFormat="1" applyFont="1" applyFill="1" applyBorder="1" applyAlignment="1">
      <alignment horizontal="center" vertical="center"/>
    </xf>
    <xf numFmtId="164" fontId="0" fillId="0" borderId="20" xfId="0" applyNumberFormat="1" applyFont="1" applyFill="1" applyBorder="1" applyAlignment="1">
      <alignment horizontal="center" vertical="center"/>
    </xf>
    <xf numFmtId="0" fontId="0" fillId="0" borderId="16" xfId="0" applyFont="1" applyFill="1" applyBorder="1"/>
    <xf numFmtId="4" fontId="0" fillId="0" borderId="17" xfId="0" applyNumberFormat="1" applyFont="1" applyFill="1" applyBorder="1"/>
    <xf numFmtId="4" fontId="0" fillId="0" borderId="17" xfId="0" applyNumberFormat="1" applyFont="1" applyFill="1" applyBorder="1" applyAlignment="1">
      <alignment horizontal="center" vertical="center"/>
    </xf>
    <xf numFmtId="164" fontId="0" fillId="0" borderId="18" xfId="0" applyNumberFormat="1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4" fontId="0" fillId="0" borderId="36" xfId="0" applyNumberFormat="1" applyFont="1" applyFill="1" applyBorder="1" applyAlignment="1">
      <alignment horizontal="center" vertical="center"/>
    </xf>
    <xf numFmtId="4" fontId="0" fillId="0" borderId="14" xfId="0" applyNumberFormat="1" applyFont="1" applyFill="1" applyBorder="1" applyAlignment="1">
      <alignment horizontal="center" vertical="center"/>
    </xf>
    <xf numFmtId="164" fontId="0" fillId="0" borderId="30" xfId="0" applyNumberFormat="1" applyFont="1" applyFill="1" applyBorder="1" applyAlignment="1">
      <alignment horizontal="center" vertical="center"/>
    </xf>
    <xf numFmtId="4" fontId="0" fillId="2" borderId="13" xfId="0" applyNumberFormat="1" applyFont="1" applyFill="1" applyBorder="1" applyAlignment="1">
      <alignment horizontal="center" vertical="center"/>
    </xf>
    <xf numFmtId="4" fontId="0" fillId="2" borderId="36" xfId="0" applyNumberFormat="1" applyFont="1" applyFill="1" applyBorder="1" applyAlignment="1">
      <alignment horizontal="center" vertical="center"/>
    </xf>
    <xf numFmtId="164" fontId="0" fillId="2" borderId="38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4" fontId="0" fillId="0" borderId="37" xfId="0" applyNumberFormat="1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4" fontId="0" fillId="2" borderId="38" xfId="0" applyNumberFormat="1" applyFont="1" applyFill="1" applyBorder="1" applyAlignment="1">
      <alignment horizontal="center" vertical="center"/>
    </xf>
    <xf numFmtId="4" fontId="0" fillId="2" borderId="43" xfId="0" applyNumberFormat="1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4" fontId="0" fillId="2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right"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4" fontId="0" fillId="2" borderId="37" xfId="0" applyNumberFormat="1" applyFont="1" applyFill="1" applyBorder="1" applyAlignment="1">
      <alignment horizontal="center" vertical="center"/>
    </xf>
    <xf numFmtId="164" fontId="0" fillId="2" borderId="44" xfId="0" applyNumberFormat="1" applyFont="1" applyFill="1" applyBorder="1" applyAlignment="1">
      <alignment horizontal="center" vertical="center"/>
    </xf>
    <xf numFmtId="0" fontId="0" fillId="2" borderId="7" xfId="0" applyFont="1" applyFill="1" applyBorder="1"/>
    <xf numFmtId="0" fontId="0" fillId="0" borderId="40" xfId="0" applyFont="1" applyBorder="1" applyAlignment="1">
      <alignment vertical="center"/>
    </xf>
    <xf numFmtId="4" fontId="0" fillId="0" borderId="0" xfId="0" applyNumberFormat="1" applyFont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5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4" fontId="0" fillId="0" borderId="39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7352A-C95C-4301-BEF8-ECAEA5BE8314}">
  <dimension ref="A1:J81"/>
  <sheetViews>
    <sheetView tabSelected="1" topLeftCell="A58" workbookViewId="0">
      <selection activeCell="B85" sqref="B85"/>
    </sheetView>
  </sheetViews>
  <sheetFormatPr baseColWidth="10" defaultColWidth="11" defaultRowHeight="15" x14ac:dyDescent="0.25"/>
  <cols>
    <col min="1" max="1" width="24.5703125" style="1" bestFit="1" customWidth="1"/>
    <col min="2" max="2" width="29.85546875" style="3" bestFit="1" customWidth="1"/>
    <col min="3" max="3" width="13.140625" style="3" bestFit="1" customWidth="1"/>
    <col min="4" max="4" width="10" style="3" bestFit="1" customWidth="1"/>
    <col min="5" max="5" width="16.28515625" style="3" customWidth="1"/>
    <col min="6" max="6" width="12.140625" style="3" bestFit="1" customWidth="1"/>
    <col min="7" max="7" width="31.7109375" style="3" bestFit="1" customWidth="1"/>
    <col min="8" max="8" width="12.7109375" style="3" bestFit="1" customWidth="1"/>
    <col min="9" max="9" width="11.5703125" style="3" bestFit="1" customWidth="1"/>
    <col min="10" max="10" width="8.140625" style="3" bestFit="1" customWidth="1"/>
    <col min="11" max="16384" width="11" style="3"/>
  </cols>
  <sheetData>
    <row r="1" spans="1:9" ht="15.75" thickBot="1" x14ac:dyDescent="0.3"/>
    <row r="2" spans="1:9" ht="15.75" thickBot="1" x14ac:dyDescent="0.3">
      <c r="A2" s="104" t="s">
        <v>74</v>
      </c>
      <c r="B2" s="105"/>
      <c r="C2" s="105"/>
      <c r="D2" s="105"/>
      <c r="E2" s="105"/>
      <c r="F2" s="105"/>
      <c r="G2" s="105"/>
    </row>
    <row r="3" spans="1:9" s="2" customFormat="1" ht="30" customHeight="1" thickBot="1" x14ac:dyDescent="0.3">
      <c r="A3" s="113" t="s">
        <v>73</v>
      </c>
      <c r="B3" s="119" t="s">
        <v>7</v>
      </c>
      <c r="C3" s="117" t="s">
        <v>140</v>
      </c>
      <c r="D3" s="118"/>
      <c r="E3" s="117" t="s">
        <v>72</v>
      </c>
      <c r="F3" s="118"/>
      <c r="G3" s="113" t="s">
        <v>68</v>
      </c>
    </row>
    <row r="4" spans="1:9" s="4" customFormat="1" ht="15.75" thickBot="1" x14ac:dyDescent="0.3">
      <c r="A4" s="114"/>
      <c r="B4" s="120"/>
      <c r="C4" s="34" t="s">
        <v>2</v>
      </c>
      <c r="D4" s="34" t="s">
        <v>8</v>
      </c>
      <c r="E4" s="34" t="s">
        <v>70</v>
      </c>
      <c r="F4" s="34" t="s">
        <v>71</v>
      </c>
      <c r="G4" s="114"/>
    </row>
    <row r="5" spans="1:9" x14ac:dyDescent="0.25">
      <c r="A5" s="127" t="s">
        <v>3</v>
      </c>
      <c r="B5" s="12" t="s">
        <v>0</v>
      </c>
      <c r="C5" s="13">
        <v>2593.5</v>
      </c>
      <c r="D5" s="13">
        <v>0</v>
      </c>
      <c r="E5" s="13">
        <v>300</v>
      </c>
      <c r="F5" s="72">
        <v>0</v>
      </c>
      <c r="G5" s="24"/>
      <c r="H5" s="89"/>
    </row>
    <row r="6" spans="1:9" ht="15.75" thickBot="1" x14ac:dyDescent="0.3">
      <c r="A6" s="128"/>
      <c r="B6" s="77" t="s">
        <v>1</v>
      </c>
      <c r="C6" s="78">
        <v>988</v>
      </c>
      <c r="D6" s="78">
        <v>0</v>
      </c>
      <c r="E6" s="78">
        <v>60</v>
      </c>
      <c r="F6" s="79">
        <v>0</v>
      </c>
      <c r="G6" s="74"/>
      <c r="H6" s="89"/>
    </row>
    <row r="7" spans="1:9" x14ac:dyDescent="0.25">
      <c r="A7" s="106" t="s">
        <v>6</v>
      </c>
      <c r="B7" s="82" t="s">
        <v>9</v>
      </c>
      <c r="C7" s="9">
        <f>1.25*247+0.5*52</f>
        <v>334.75</v>
      </c>
      <c r="D7" s="9">
        <f>0.5*66</f>
        <v>33</v>
      </c>
      <c r="E7" s="9">
        <f>55</f>
        <v>55</v>
      </c>
      <c r="F7" s="9">
        <v>0</v>
      </c>
      <c r="G7" s="24"/>
      <c r="H7" s="89"/>
    </row>
    <row r="8" spans="1:9" x14ac:dyDescent="0.25">
      <c r="A8" s="107"/>
      <c r="B8" s="10" t="s">
        <v>10</v>
      </c>
      <c r="C8" s="6">
        <f>1*247</f>
        <v>247</v>
      </c>
      <c r="D8" s="6">
        <v>0</v>
      </c>
      <c r="E8" s="6">
        <f>65-F8</f>
        <v>60</v>
      </c>
      <c r="F8" s="6">
        <v>5</v>
      </c>
      <c r="G8" s="26"/>
      <c r="H8" s="89"/>
    </row>
    <row r="9" spans="1:9" x14ac:dyDescent="0.25">
      <c r="A9" s="107"/>
      <c r="B9" s="10" t="s">
        <v>11</v>
      </c>
      <c r="C9" s="6">
        <f>3*52</f>
        <v>156</v>
      </c>
      <c r="D9" s="6">
        <v>0</v>
      </c>
      <c r="E9" s="6">
        <f>52-F9</f>
        <v>50</v>
      </c>
      <c r="F9" s="6">
        <v>2</v>
      </c>
      <c r="G9" s="26"/>
      <c r="H9" s="89"/>
    </row>
    <row r="10" spans="1:9" ht="15.75" thickBot="1" x14ac:dyDescent="0.3">
      <c r="A10" s="108"/>
      <c r="B10" s="84" t="s">
        <v>12</v>
      </c>
      <c r="C10" s="11">
        <f>2.5*299</f>
        <v>747.5</v>
      </c>
      <c r="D10" s="11">
        <f>2.5*66</f>
        <v>165</v>
      </c>
      <c r="E10" s="11">
        <v>282.83999999999997</v>
      </c>
      <c r="F10" s="11">
        <v>0</v>
      </c>
      <c r="G10" s="25"/>
      <c r="H10" s="89"/>
    </row>
    <row r="11" spans="1:9" x14ac:dyDescent="0.25">
      <c r="A11" s="125" t="s">
        <v>13</v>
      </c>
      <c r="B11" s="85" t="s">
        <v>16</v>
      </c>
      <c r="C11" s="81">
        <f>1*299</f>
        <v>299</v>
      </c>
      <c r="D11" s="81">
        <f>1*66</f>
        <v>66</v>
      </c>
      <c r="E11" s="81">
        <f>46.4-(6.5/28*6)-2.25</f>
        <v>42.757142857142853</v>
      </c>
      <c r="F11" s="86">
        <f>46.4-E11</f>
        <v>3.6428571428571459</v>
      </c>
      <c r="G11" s="68"/>
      <c r="H11" s="89"/>
      <c r="I11" s="5"/>
    </row>
    <row r="12" spans="1:9" x14ac:dyDescent="0.25">
      <c r="A12" s="125"/>
      <c r="B12" s="61" t="s">
        <v>17</v>
      </c>
      <c r="C12" s="17">
        <v>52</v>
      </c>
      <c r="D12" s="17">
        <v>0</v>
      </c>
      <c r="E12" s="17">
        <f>48-(7/28*6)-2</f>
        <v>44.5</v>
      </c>
      <c r="F12" s="73">
        <f>48-E12</f>
        <v>3.5</v>
      </c>
      <c r="G12" s="26"/>
      <c r="H12" s="89"/>
    </row>
    <row r="13" spans="1:9" x14ac:dyDescent="0.25">
      <c r="A13" s="125"/>
      <c r="B13" s="61" t="s">
        <v>18</v>
      </c>
      <c r="C13" s="17">
        <v>52</v>
      </c>
      <c r="D13" s="17">
        <v>0</v>
      </c>
      <c r="E13" s="17">
        <f>49.2-(7/28*6)-2.2</f>
        <v>45.5</v>
      </c>
      <c r="F13" s="73">
        <f>49.2-E13</f>
        <v>3.7000000000000028</v>
      </c>
      <c r="G13" s="26"/>
      <c r="H13" s="89"/>
    </row>
    <row r="14" spans="1:9" x14ac:dyDescent="0.25">
      <c r="A14" s="125"/>
      <c r="B14" s="61" t="s">
        <v>21</v>
      </c>
      <c r="C14" s="17">
        <f>3*52</f>
        <v>156</v>
      </c>
      <c r="D14" s="17">
        <v>0</v>
      </c>
      <c r="E14" s="17">
        <f>42.33-(6/23*6)-3</f>
        <v>37.764782608695654</v>
      </c>
      <c r="F14" s="73">
        <f>42.33-E14</f>
        <v>4.5652173913043441</v>
      </c>
      <c r="G14" s="26"/>
      <c r="H14" s="89"/>
    </row>
    <row r="15" spans="1:9" x14ac:dyDescent="0.25">
      <c r="A15" s="125"/>
      <c r="B15" s="61" t="s">
        <v>14</v>
      </c>
      <c r="C15" s="17">
        <f>(3.5*247)+(1.5*52)</f>
        <v>942.5</v>
      </c>
      <c r="D15" s="17">
        <f>3.5*66</f>
        <v>231</v>
      </c>
      <c r="E15" s="17">
        <f>77-(11/33*6)-1.5</f>
        <v>73.5</v>
      </c>
      <c r="F15" s="73">
        <f>77-E15</f>
        <v>3.5</v>
      </c>
      <c r="G15" s="26"/>
      <c r="H15" s="89"/>
      <c r="I15" s="5"/>
    </row>
    <row r="16" spans="1:9" x14ac:dyDescent="0.25">
      <c r="A16" s="125"/>
      <c r="B16" s="61" t="s">
        <v>22</v>
      </c>
      <c r="C16" s="17">
        <f>0.5*52</f>
        <v>26</v>
      </c>
      <c r="D16" s="17">
        <v>0</v>
      </c>
      <c r="E16" s="17">
        <f>33-(5/23*6)-2</f>
        <v>29.695652173913043</v>
      </c>
      <c r="F16" s="73">
        <f>33-E16</f>
        <v>3.304347826086957</v>
      </c>
      <c r="G16" s="26"/>
      <c r="H16" s="89"/>
    </row>
    <row r="17" spans="1:10" x14ac:dyDescent="0.25">
      <c r="A17" s="125"/>
      <c r="B17" s="61" t="s">
        <v>23</v>
      </c>
      <c r="C17" s="17">
        <v>26</v>
      </c>
      <c r="D17" s="17">
        <v>0</v>
      </c>
      <c r="E17" s="17">
        <f>36.5-(5.5/23*6)-2</f>
        <v>33.065217391304344</v>
      </c>
      <c r="F17" s="73">
        <f>36.5-E17</f>
        <v>3.4347826086956559</v>
      </c>
      <c r="G17" s="26"/>
      <c r="H17" s="89"/>
    </row>
    <row r="18" spans="1:10" x14ac:dyDescent="0.25">
      <c r="A18" s="125"/>
      <c r="B18" s="61" t="s">
        <v>24</v>
      </c>
      <c r="C18" s="17">
        <v>26</v>
      </c>
      <c r="D18" s="17">
        <v>0</v>
      </c>
      <c r="E18" s="17">
        <f>36.5-(5.5/23*6)-2</f>
        <v>33.065217391304344</v>
      </c>
      <c r="F18" s="73">
        <f>36.5-E18</f>
        <v>3.4347826086956559</v>
      </c>
      <c r="G18" s="26"/>
      <c r="H18" s="89"/>
    </row>
    <row r="19" spans="1:10" x14ac:dyDescent="0.25">
      <c r="A19" s="125"/>
      <c r="B19" s="61" t="s">
        <v>25</v>
      </c>
      <c r="C19" s="17">
        <v>26</v>
      </c>
      <c r="D19" s="17">
        <v>0</v>
      </c>
      <c r="E19" s="17">
        <f>34-(5/23*6)-2</f>
        <v>30.695652173913047</v>
      </c>
      <c r="F19" s="73">
        <f>34-E19</f>
        <v>3.3043478260869534</v>
      </c>
      <c r="G19" s="26"/>
      <c r="H19" s="89"/>
    </row>
    <row r="20" spans="1:10" x14ac:dyDescent="0.25">
      <c r="A20" s="125"/>
      <c r="B20" s="61" t="s">
        <v>19</v>
      </c>
      <c r="C20" s="17">
        <f>(1*3*39)+(1*6*13)</f>
        <v>195</v>
      </c>
      <c r="D20" s="17">
        <f>1*13</f>
        <v>13</v>
      </c>
      <c r="E20" s="17">
        <f>62.2-(8.5/28*6)-3</f>
        <v>57.378571428571433</v>
      </c>
      <c r="F20" s="73">
        <f>62.2-E20</f>
        <v>4.8214285714285694</v>
      </c>
      <c r="G20" s="26"/>
      <c r="H20" s="89"/>
    </row>
    <row r="21" spans="1:10" x14ac:dyDescent="0.25">
      <c r="A21" s="125"/>
      <c r="B21" s="61" t="s">
        <v>20</v>
      </c>
      <c r="C21" s="17">
        <f>(1*3*39)+(1*6*13)</f>
        <v>195</v>
      </c>
      <c r="D21" s="17">
        <f>1*13</f>
        <v>13</v>
      </c>
      <c r="E21" s="17">
        <f>64.2-(8.75/28*6)-3</f>
        <v>59.325000000000003</v>
      </c>
      <c r="F21" s="73">
        <f>64.2-E21</f>
        <v>4.875</v>
      </c>
      <c r="G21" s="26"/>
      <c r="H21" s="89"/>
    </row>
    <row r="22" spans="1:10" ht="15.75" thickBot="1" x14ac:dyDescent="0.3">
      <c r="A22" s="126"/>
      <c r="B22" s="77" t="s">
        <v>15</v>
      </c>
      <c r="C22" s="78">
        <f>(2.2*247)+1.5*52</f>
        <v>621.40000000000009</v>
      </c>
      <c r="D22" s="78">
        <f>1.5*66</f>
        <v>99</v>
      </c>
      <c r="E22" s="78">
        <f>83-(11.6/34*6)-4</f>
        <v>76.952941176470588</v>
      </c>
      <c r="F22" s="79">
        <f>83-E22</f>
        <v>6.0470588235294116</v>
      </c>
      <c r="G22" s="74"/>
      <c r="H22" s="89"/>
      <c r="I22" s="5"/>
    </row>
    <row r="23" spans="1:10" x14ac:dyDescent="0.25">
      <c r="A23" s="115" t="s">
        <v>26</v>
      </c>
      <c r="B23" s="82" t="s">
        <v>27</v>
      </c>
      <c r="C23" s="9">
        <f>2.5*299</f>
        <v>747.5</v>
      </c>
      <c r="D23" s="9">
        <f>2.5*66</f>
        <v>165</v>
      </c>
      <c r="E23" s="9">
        <f>120-(16/33*6)-2</f>
        <v>115.09090909090909</v>
      </c>
      <c r="F23" s="9">
        <f>120-E23</f>
        <v>4.9090909090909065</v>
      </c>
      <c r="G23" s="24"/>
      <c r="H23" s="89"/>
      <c r="J23" s="83"/>
    </row>
    <row r="24" spans="1:10" x14ac:dyDescent="0.25">
      <c r="A24" s="116"/>
      <c r="B24" s="10" t="s">
        <v>29</v>
      </c>
      <c r="C24" s="6">
        <f>617.5+247</f>
        <v>864.5</v>
      </c>
      <c r="D24" s="6">
        <f>236+118</f>
        <v>354</v>
      </c>
      <c r="E24" s="6">
        <v>1300</v>
      </c>
      <c r="F24" s="6">
        <f>1300-E24</f>
        <v>0</v>
      </c>
      <c r="G24" s="26"/>
      <c r="H24" s="89"/>
      <c r="J24" s="83"/>
    </row>
    <row r="25" spans="1:10" x14ac:dyDescent="0.25">
      <c r="A25" s="116"/>
      <c r="B25" s="10" t="s">
        <v>30</v>
      </c>
      <c r="C25" s="7">
        <f>1.5*247+1*52</f>
        <v>422.5</v>
      </c>
      <c r="D25" s="7">
        <f>66*1</f>
        <v>66</v>
      </c>
      <c r="E25" s="7">
        <f>75-(10/34*6)-1.5</f>
        <v>71.735294117647058</v>
      </c>
      <c r="F25" s="7">
        <f>75-E25</f>
        <v>3.264705882352942</v>
      </c>
      <c r="G25" s="26"/>
      <c r="H25" s="89"/>
      <c r="J25" s="83"/>
    </row>
    <row r="26" spans="1:10" x14ac:dyDescent="0.25">
      <c r="A26" s="116"/>
      <c r="B26" s="10" t="s">
        <v>31</v>
      </c>
      <c r="C26" s="7">
        <f>1.5*247+1*52</f>
        <v>422.5</v>
      </c>
      <c r="D26" s="7">
        <f>1*66</f>
        <v>66</v>
      </c>
      <c r="E26" s="7">
        <f>60-(8.5/34*6)-0</f>
        <v>58.5</v>
      </c>
      <c r="F26" s="7">
        <f>60-E26</f>
        <v>1.5</v>
      </c>
      <c r="G26" s="26"/>
      <c r="H26" s="89"/>
      <c r="J26" s="83"/>
    </row>
    <row r="27" spans="1:10" x14ac:dyDescent="0.25">
      <c r="A27" s="116"/>
      <c r="B27" s="10" t="s">
        <v>32</v>
      </c>
      <c r="C27" s="7">
        <v>448.5</v>
      </c>
      <c r="D27" s="7">
        <v>99</v>
      </c>
      <c r="E27" s="7">
        <f>60-(8.25*34/6)-1</f>
        <v>12.25</v>
      </c>
      <c r="F27" s="7">
        <f>60-E27</f>
        <v>47.75</v>
      </c>
      <c r="G27" s="26"/>
      <c r="H27" s="89"/>
      <c r="J27" s="83"/>
    </row>
    <row r="28" spans="1:10" x14ac:dyDescent="0.25">
      <c r="A28" s="116"/>
      <c r="B28" s="10" t="s">
        <v>33</v>
      </c>
      <c r="C28" s="7">
        <f>1*299</f>
        <v>299</v>
      </c>
      <c r="D28" s="7">
        <f>0.75*66</f>
        <v>49.5</v>
      </c>
      <c r="E28" s="7">
        <f>60-(8.5/34*6)-1</f>
        <v>57.5</v>
      </c>
      <c r="F28" s="7">
        <f>60-E28</f>
        <v>2.5</v>
      </c>
      <c r="G28" s="26"/>
      <c r="H28" s="89"/>
      <c r="J28" s="83"/>
    </row>
    <row r="29" spans="1:10" x14ac:dyDescent="0.25">
      <c r="A29" s="116"/>
      <c r="B29" s="10" t="s">
        <v>132</v>
      </c>
      <c r="C29" s="6">
        <f>1*299</f>
        <v>299</v>
      </c>
      <c r="D29" s="6">
        <f>1*66</f>
        <v>66</v>
      </c>
      <c r="E29" s="6">
        <v>45.5</v>
      </c>
      <c r="F29" s="6">
        <v>4.5</v>
      </c>
      <c r="G29" s="26"/>
      <c r="H29" s="89"/>
      <c r="J29" s="83"/>
    </row>
    <row r="30" spans="1:10" x14ac:dyDescent="0.25">
      <c r="A30" s="116"/>
      <c r="B30" s="10" t="s">
        <v>133</v>
      </c>
      <c r="C30" s="6">
        <f>5*52</f>
        <v>260</v>
      </c>
      <c r="D30" s="6">
        <v>0</v>
      </c>
      <c r="E30" s="6"/>
      <c r="F30" s="6">
        <v>18</v>
      </c>
      <c r="G30" s="26"/>
      <c r="H30" s="89"/>
      <c r="J30" s="83"/>
    </row>
    <row r="31" spans="1:10" x14ac:dyDescent="0.25">
      <c r="A31" s="116"/>
      <c r="B31" s="10" t="s">
        <v>35</v>
      </c>
      <c r="C31" s="7">
        <f>1*247+0.5*52</f>
        <v>273</v>
      </c>
      <c r="D31" s="7">
        <f>0.5*66</f>
        <v>33</v>
      </c>
      <c r="E31" s="7">
        <f>65-(9/28*6)-3</f>
        <v>60.071428571428569</v>
      </c>
      <c r="F31" s="7">
        <f>65-E31</f>
        <v>4.9285714285714306</v>
      </c>
      <c r="G31" s="26"/>
      <c r="H31" s="89"/>
      <c r="I31" s="27"/>
      <c r="J31" s="83"/>
    </row>
    <row r="32" spans="1:10" x14ac:dyDescent="0.25">
      <c r="A32" s="116"/>
      <c r="B32" s="10" t="s">
        <v>36</v>
      </c>
      <c r="C32" s="7">
        <f>1*247+0.5*52</f>
        <v>273</v>
      </c>
      <c r="D32" s="7">
        <f>0.5*66</f>
        <v>33</v>
      </c>
      <c r="E32" s="7">
        <f>60-(8.5/28*6)-0</f>
        <v>58.178571428571431</v>
      </c>
      <c r="F32" s="7">
        <f>60-E32</f>
        <v>1.8214285714285694</v>
      </c>
      <c r="G32" s="26"/>
      <c r="H32" s="89"/>
      <c r="J32" s="83"/>
    </row>
    <row r="33" spans="1:10" x14ac:dyDescent="0.25">
      <c r="A33" s="116"/>
      <c r="B33" s="10" t="s">
        <v>37</v>
      </c>
      <c r="C33" s="7">
        <f>1*247+0.5*52</f>
        <v>273</v>
      </c>
      <c r="D33" s="7">
        <f>0.5*66</f>
        <v>33</v>
      </c>
      <c r="E33" s="7">
        <f>60-(8.5/28*6)-3</f>
        <v>55.178571428571431</v>
      </c>
      <c r="F33" s="7">
        <f>60-E33</f>
        <v>4.8214285714285694</v>
      </c>
      <c r="G33" s="26"/>
      <c r="H33" s="89"/>
      <c r="I33" s="27"/>
      <c r="J33" s="83"/>
    </row>
    <row r="34" spans="1:10" x14ac:dyDescent="0.25">
      <c r="A34" s="116"/>
      <c r="B34" s="10" t="s">
        <v>38</v>
      </c>
      <c r="C34" s="7">
        <f>1*299</f>
        <v>299</v>
      </c>
      <c r="D34" s="7">
        <f>1*66</f>
        <v>66</v>
      </c>
      <c r="E34" s="7">
        <f>50-(7.33/31*6)-1</f>
        <v>47.581290322580642</v>
      </c>
      <c r="F34" s="7">
        <f>50-E34</f>
        <v>2.4187096774193577</v>
      </c>
      <c r="G34" s="26"/>
      <c r="H34" s="89"/>
      <c r="I34" s="27"/>
      <c r="J34" s="83"/>
    </row>
    <row r="35" spans="1:10" x14ac:dyDescent="0.25">
      <c r="A35" s="116"/>
      <c r="B35" s="10" t="s">
        <v>39</v>
      </c>
      <c r="C35" s="7">
        <f>0.5*299</f>
        <v>149.5</v>
      </c>
      <c r="D35" s="7">
        <f>0.5*66</f>
        <v>33</v>
      </c>
      <c r="E35" s="7">
        <f>26-(3.75/23*6)-3</f>
        <v>22.021739130434781</v>
      </c>
      <c r="F35" s="7">
        <f>26-E35</f>
        <v>3.9782608695652186</v>
      </c>
      <c r="G35" s="26"/>
      <c r="H35" s="89"/>
      <c r="J35" s="83"/>
    </row>
    <row r="36" spans="1:10" ht="15.75" thickBot="1" x14ac:dyDescent="0.3">
      <c r="A36" s="116"/>
      <c r="B36" s="84" t="s">
        <v>40</v>
      </c>
      <c r="C36" s="18">
        <f>0.5*299</f>
        <v>149.5</v>
      </c>
      <c r="D36" s="18">
        <f>0.5*66</f>
        <v>33</v>
      </c>
      <c r="E36" s="18">
        <f>35-(5/23*6)-4</f>
        <v>29.695652173913047</v>
      </c>
      <c r="F36" s="18">
        <f>35-E36</f>
        <v>5.3043478260869534</v>
      </c>
      <c r="G36" s="25"/>
      <c r="H36" s="89"/>
      <c r="J36" s="83"/>
    </row>
    <row r="37" spans="1:10" x14ac:dyDescent="0.25">
      <c r="A37" s="109" t="s">
        <v>41</v>
      </c>
      <c r="B37" s="80" t="s">
        <v>42</v>
      </c>
      <c r="C37" s="81">
        <v>598</v>
      </c>
      <c r="D37" s="81">
        <v>132</v>
      </c>
      <c r="E37" s="81">
        <f>50-(6.25/34*6)-2</f>
        <v>46.897058823529413</v>
      </c>
      <c r="F37" s="81">
        <f>50-E37</f>
        <v>3.102941176470587</v>
      </c>
      <c r="G37" s="68"/>
      <c r="H37" s="89"/>
    </row>
    <row r="38" spans="1:10" x14ac:dyDescent="0.25">
      <c r="A38" s="110"/>
      <c r="B38" s="16" t="s">
        <v>43</v>
      </c>
      <c r="C38" s="17">
        <v>598</v>
      </c>
      <c r="D38" s="17">
        <v>132</v>
      </c>
      <c r="E38" s="17">
        <f>50-(6/37*6)-3</f>
        <v>46.027027027027025</v>
      </c>
      <c r="F38" s="17">
        <f>50-E38</f>
        <v>3.9729729729729755</v>
      </c>
      <c r="G38" s="26"/>
      <c r="H38" s="89"/>
    </row>
    <row r="39" spans="1:10" x14ac:dyDescent="0.25">
      <c r="A39" s="110"/>
      <c r="B39" s="16" t="s">
        <v>44</v>
      </c>
      <c r="C39" s="17">
        <f>2*299</f>
        <v>598</v>
      </c>
      <c r="D39" s="17">
        <f>2*66</f>
        <v>132</v>
      </c>
      <c r="E39" s="17">
        <f>60-(7/28*6)-10</f>
        <v>48.5</v>
      </c>
      <c r="F39" s="17">
        <f>60-E39</f>
        <v>11.5</v>
      </c>
      <c r="G39" s="26"/>
      <c r="H39" s="89"/>
    </row>
    <row r="40" spans="1:10" x14ac:dyDescent="0.25">
      <c r="A40" s="110"/>
      <c r="B40" s="16" t="s">
        <v>45</v>
      </c>
      <c r="C40" s="17">
        <v>598</v>
      </c>
      <c r="D40" s="17">
        <v>132</v>
      </c>
      <c r="E40" s="17">
        <f>50-(7/31*6)-1</f>
        <v>47.645161290322584</v>
      </c>
      <c r="F40" s="17">
        <f>50-E40</f>
        <v>2.3548387096774164</v>
      </c>
      <c r="G40" s="26"/>
      <c r="H40" s="89"/>
    </row>
    <row r="41" spans="1:10" x14ac:dyDescent="0.25">
      <c r="A41" s="110"/>
      <c r="B41" s="16" t="s">
        <v>46</v>
      </c>
      <c r="C41" s="17">
        <v>373.75</v>
      </c>
      <c r="D41" s="17">
        <v>82.5</v>
      </c>
      <c r="E41" s="17">
        <f>40-(5.3/31*6)-1.5</f>
        <v>37.474193548387099</v>
      </c>
      <c r="F41" s="17">
        <f>40-E41</f>
        <v>2.5258064516129011</v>
      </c>
      <c r="G41" s="26"/>
      <c r="H41" s="89"/>
    </row>
    <row r="42" spans="1:10" x14ac:dyDescent="0.25">
      <c r="A42" s="110"/>
      <c r="B42" s="16" t="s">
        <v>47</v>
      </c>
      <c r="C42" s="17">
        <v>299</v>
      </c>
      <c r="D42" s="17">
        <v>66</v>
      </c>
      <c r="E42" s="17">
        <f>45-(6/23*6)-3</f>
        <v>40.434782608695656</v>
      </c>
      <c r="F42" s="17">
        <f>45-E42</f>
        <v>4.5652173913043441</v>
      </c>
      <c r="G42" s="26"/>
      <c r="H42" s="89"/>
    </row>
    <row r="43" spans="1:10" x14ac:dyDescent="0.25">
      <c r="A43" s="110"/>
      <c r="B43" s="16" t="s">
        <v>48</v>
      </c>
      <c r="C43" s="17">
        <v>224.25</v>
      </c>
      <c r="D43" s="17">
        <v>49.5</v>
      </c>
      <c r="E43" s="17">
        <f>40-(6/23*6)-2</f>
        <v>36.434782608695656</v>
      </c>
      <c r="F43" s="17">
        <f>40-E43</f>
        <v>3.5652173913043441</v>
      </c>
      <c r="G43" s="26"/>
      <c r="H43" s="89"/>
    </row>
    <row r="44" spans="1:10" x14ac:dyDescent="0.25">
      <c r="A44" s="110"/>
      <c r="B44" s="16" t="s">
        <v>49</v>
      </c>
      <c r="C44" s="17">
        <v>224.25</v>
      </c>
      <c r="D44" s="17">
        <v>49.5</v>
      </c>
      <c r="E44" s="17">
        <f>50-(7/23*6)-3</f>
        <v>45.173913043478258</v>
      </c>
      <c r="F44" s="17">
        <f>50-E44</f>
        <v>4.8260869565217419</v>
      </c>
      <c r="G44" s="26"/>
      <c r="H44" s="89"/>
    </row>
    <row r="45" spans="1:10" x14ac:dyDescent="0.25">
      <c r="A45" s="110"/>
      <c r="B45" s="16" t="s">
        <v>50</v>
      </c>
      <c r="C45" s="17">
        <v>149.5</v>
      </c>
      <c r="D45" s="17">
        <v>33</v>
      </c>
      <c r="E45" s="17">
        <f>25-(3/23*6)-3</f>
        <v>21.217391304347828</v>
      </c>
      <c r="F45" s="17">
        <f>25-E45</f>
        <v>3.7826086956521721</v>
      </c>
      <c r="G45" s="26"/>
      <c r="H45" s="89"/>
    </row>
    <row r="46" spans="1:10" x14ac:dyDescent="0.25">
      <c r="A46" s="110"/>
      <c r="B46" s="16" t="s">
        <v>51</v>
      </c>
      <c r="C46" s="17">
        <v>149.5</v>
      </c>
      <c r="D46" s="17">
        <v>33</v>
      </c>
      <c r="E46" s="17">
        <f>25-(3.5/23*6)-2</f>
        <v>22.086956521739129</v>
      </c>
      <c r="F46" s="17">
        <f>25-E46</f>
        <v>2.913043478260871</v>
      </c>
      <c r="G46" s="26"/>
      <c r="H46" s="89"/>
    </row>
    <row r="47" spans="1:10" ht="15.75" thickBot="1" x14ac:dyDescent="0.3">
      <c r="A47" s="111"/>
      <c r="B47" s="20" t="s">
        <v>52</v>
      </c>
      <c r="C47" s="15">
        <v>149.5</v>
      </c>
      <c r="D47" s="15">
        <v>33</v>
      </c>
      <c r="E47" s="15">
        <f>40-(5.67/23*6)-2</f>
        <v>36.520869565217389</v>
      </c>
      <c r="F47" s="15">
        <f>40-E47</f>
        <v>3.4791304347826113</v>
      </c>
      <c r="G47" s="25"/>
      <c r="H47" s="89"/>
    </row>
    <row r="48" spans="1:10" x14ac:dyDescent="0.25">
      <c r="A48" s="112" t="s">
        <v>53</v>
      </c>
      <c r="B48" s="75" t="s">
        <v>28</v>
      </c>
      <c r="C48" s="35">
        <v>657.80000000000007</v>
      </c>
      <c r="D48" s="35">
        <v>145.20000000000002</v>
      </c>
      <c r="E48" s="35">
        <v>189</v>
      </c>
      <c r="F48" s="76">
        <v>0</v>
      </c>
      <c r="G48" s="71"/>
      <c r="H48" s="89"/>
    </row>
    <row r="49" spans="1:8" x14ac:dyDescent="0.25">
      <c r="A49" s="107"/>
      <c r="B49" s="21" t="s">
        <v>69</v>
      </c>
      <c r="C49" s="6">
        <v>199.33333333333331</v>
      </c>
      <c r="D49" s="6">
        <v>44</v>
      </c>
      <c r="E49" s="6">
        <v>185</v>
      </c>
      <c r="F49" s="69">
        <v>0</v>
      </c>
      <c r="G49" s="62"/>
      <c r="H49" s="89"/>
    </row>
    <row r="50" spans="1:8" x14ac:dyDescent="0.25">
      <c r="A50" s="107"/>
      <c r="B50" s="21" t="s">
        <v>27</v>
      </c>
      <c r="C50" s="6">
        <v>99.666666666666657</v>
      </c>
      <c r="D50" s="6">
        <v>22</v>
      </c>
      <c r="E50" s="6">
        <f>99-F50</f>
        <v>95</v>
      </c>
      <c r="F50" s="69">
        <v>4</v>
      </c>
      <c r="G50" s="62"/>
      <c r="H50" s="89"/>
    </row>
    <row r="51" spans="1:8" x14ac:dyDescent="0.25">
      <c r="A51" s="107"/>
      <c r="B51" s="21" t="s">
        <v>54</v>
      </c>
      <c r="C51" s="6">
        <v>99.666666666666657</v>
      </c>
      <c r="D51" s="6">
        <v>22</v>
      </c>
      <c r="E51" s="6">
        <v>99</v>
      </c>
      <c r="F51" s="69">
        <f>99-E51</f>
        <v>0</v>
      </c>
      <c r="G51" s="62"/>
      <c r="H51" s="89"/>
    </row>
    <row r="52" spans="1:8" x14ac:dyDescent="0.25">
      <c r="A52" s="107"/>
      <c r="B52" s="21" t="s">
        <v>55</v>
      </c>
      <c r="C52" s="6">
        <v>99.666666666666657</v>
      </c>
      <c r="D52" s="6">
        <v>22</v>
      </c>
      <c r="E52" s="6">
        <v>99</v>
      </c>
      <c r="F52" s="69">
        <f>99-E52</f>
        <v>0</v>
      </c>
      <c r="G52" s="62"/>
      <c r="H52" s="89"/>
    </row>
    <row r="53" spans="1:8" x14ac:dyDescent="0.25">
      <c r="A53" s="107"/>
      <c r="B53" s="21" t="s">
        <v>56</v>
      </c>
      <c r="C53" s="6">
        <v>299</v>
      </c>
      <c r="D53" s="6">
        <v>66</v>
      </c>
      <c r="E53" s="6">
        <v>189</v>
      </c>
      <c r="F53" s="69">
        <f t="shared" ref="F53:F60" si="0">189-E53</f>
        <v>0</v>
      </c>
      <c r="G53" s="62"/>
      <c r="H53" s="89"/>
    </row>
    <row r="54" spans="1:8" x14ac:dyDescent="0.25">
      <c r="A54" s="107"/>
      <c r="B54" s="21" t="s">
        <v>57</v>
      </c>
      <c r="C54" s="6">
        <v>249.16666666666669</v>
      </c>
      <c r="D54" s="6">
        <v>55</v>
      </c>
      <c r="E54" s="6">
        <v>189</v>
      </c>
      <c r="F54" s="69">
        <f t="shared" si="0"/>
        <v>0</v>
      </c>
      <c r="G54" s="62"/>
      <c r="H54" s="89"/>
    </row>
    <row r="55" spans="1:8" x14ac:dyDescent="0.25">
      <c r="A55" s="107"/>
      <c r="B55" s="21" t="s">
        <v>58</v>
      </c>
      <c r="C55" s="6">
        <v>249.16666666666669</v>
      </c>
      <c r="D55" s="6">
        <v>55</v>
      </c>
      <c r="E55" s="6">
        <v>189</v>
      </c>
      <c r="F55" s="69">
        <f t="shared" si="0"/>
        <v>0</v>
      </c>
      <c r="G55" s="62"/>
      <c r="H55" s="89"/>
    </row>
    <row r="56" spans="1:8" x14ac:dyDescent="0.25">
      <c r="A56" s="107"/>
      <c r="B56" s="21" t="s">
        <v>59</v>
      </c>
      <c r="C56" s="6">
        <v>249.16666666666669</v>
      </c>
      <c r="D56" s="6">
        <v>55</v>
      </c>
      <c r="E56" s="6">
        <v>189</v>
      </c>
      <c r="F56" s="69">
        <f t="shared" si="0"/>
        <v>0</v>
      </c>
      <c r="G56" s="62"/>
      <c r="H56" s="89"/>
    </row>
    <row r="57" spans="1:8" x14ac:dyDescent="0.25">
      <c r="A57" s="107"/>
      <c r="B57" s="21" t="s">
        <v>60</v>
      </c>
      <c r="C57" s="6">
        <v>249.16666666666669</v>
      </c>
      <c r="D57" s="6">
        <v>55</v>
      </c>
      <c r="E57" s="6">
        <v>189</v>
      </c>
      <c r="F57" s="69">
        <f t="shared" si="0"/>
        <v>0</v>
      </c>
      <c r="G57" s="62"/>
      <c r="H57" s="89"/>
    </row>
    <row r="58" spans="1:8" x14ac:dyDescent="0.25">
      <c r="A58" s="107"/>
      <c r="B58" s="21" t="s">
        <v>61</v>
      </c>
      <c r="C58" s="6">
        <v>249.16666666666669</v>
      </c>
      <c r="D58" s="6">
        <v>55</v>
      </c>
      <c r="E58" s="6">
        <v>189</v>
      </c>
      <c r="F58" s="69">
        <f t="shared" si="0"/>
        <v>0</v>
      </c>
      <c r="G58" s="62"/>
      <c r="H58" s="89"/>
    </row>
    <row r="59" spans="1:8" x14ac:dyDescent="0.25">
      <c r="A59" s="107"/>
      <c r="B59" s="21" t="s">
        <v>62</v>
      </c>
      <c r="C59" s="6">
        <v>249.16666666666669</v>
      </c>
      <c r="D59" s="6">
        <v>55</v>
      </c>
      <c r="E59" s="6">
        <v>189</v>
      </c>
      <c r="F59" s="69">
        <f t="shared" si="0"/>
        <v>0</v>
      </c>
      <c r="G59" s="62"/>
      <c r="H59" s="89"/>
    </row>
    <row r="60" spans="1:8" x14ac:dyDescent="0.25">
      <c r="A60" s="107"/>
      <c r="B60" s="21" t="s">
        <v>63</v>
      </c>
      <c r="C60" s="6">
        <v>249.16666666666669</v>
      </c>
      <c r="D60" s="6">
        <v>55</v>
      </c>
      <c r="E60" s="6">
        <v>189</v>
      </c>
      <c r="F60" s="69">
        <f t="shared" si="0"/>
        <v>0</v>
      </c>
      <c r="G60" s="62"/>
      <c r="H60" s="89"/>
    </row>
    <row r="61" spans="1:8" ht="31.5" customHeight="1" x14ac:dyDescent="0.25">
      <c r="A61" s="107"/>
      <c r="B61" s="21" t="s">
        <v>64</v>
      </c>
      <c r="C61" s="6">
        <v>174.41666666666669</v>
      </c>
      <c r="D61" s="6">
        <v>38.5</v>
      </c>
      <c r="E61" s="6">
        <v>185</v>
      </c>
      <c r="F61" s="69">
        <f>185-E61</f>
        <v>0</v>
      </c>
      <c r="G61" s="62"/>
      <c r="H61" s="89"/>
    </row>
    <row r="62" spans="1:8" x14ac:dyDescent="0.25">
      <c r="A62" s="107"/>
      <c r="B62" s="21" t="s">
        <v>65</v>
      </c>
      <c r="C62" s="6">
        <v>224.25</v>
      </c>
      <c r="D62" s="6">
        <v>49.5</v>
      </c>
      <c r="E62" s="6">
        <v>185</v>
      </c>
      <c r="F62" s="69">
        <f>185-E62</f>
        <v>0</v>
      </c>
      <c r="G62" s="62"/>
      <c r="H62" s="89"/>
    </row>
    <row r="63" spans="1:8" ht="15.75" thickBot="1" x14ac:dyDescent="0.3">
      <c r="A63" s="108"/>
      <c r="B63" s="22" t="s">
        <v>66</v>
      </c>
      <c r="C63" s="11">
        <v>249.16666666666669</v>
      </c>
      <c r="D63" s="11">
        <v>55</v>
      </c>
      <c r="E63" s="11">
        <v>185</v>
      </c>
      <c r="F63" s="70">
        <f>185-E63</f>
        <v>0</v>
      </c>
      <c r="G63" s="63"/>
      <c r="H63" s="89"/>
    </row>
    <row r="64" spans="1:8" x14ac:dyDescent="0.25">
      <c r="A64" s="124" t="s">
        <v>67</v>
      </c>
      <c r="B64" s="19" t="s">
        <v>43</v>
      </c>
      <c r="C64" s="13"/>
      <c r="D64" s="13"/>
      <c r="E64" s="13">
        <f>2*52</f>
        <v>104</v>
      </c>
      <c r="F64" s="13">
        <f>104-E64</f>
        <v>0</v>
      </c>
      <c r="G64" s="68"/>
      <c r="H64" s="129"/>
    </row>
    <row r="65" spans="1:8" x14ac:dyDescent="0.25">
      <c r="A65" s="125"/>
      <c r="B65" s="16" t="s">
        <v>34</v>
      </c>
      <c r="C65" s="17"/>
      <c r="D65" s="17"/>
      <c r="E65" s="17">
        <f t="shared" ref="E65:E70" si="1">2*52</f>
        <v>104</v>
      </c>
      <c r="F65" s="17">
        <f>104-E65</f>
        <v>0</v>
      </c>
      <c r="G65" s="26"/>
      <c r="H65" s="129"/>
    </row>
    <row r="66" spans="1:8" x14ac:dyDescent="0.25">
      <c r="A66" s="125"/>
      <c r="B66" s="16" t="s">
        <v>35</v>
      </c>
      <c r="C66" s="17"/>
      <c r="D66" s="17"/>
      <c r="E66" s="17">
        <f t="shared" si="1"/>
        <v>104</v>
      </c>
      <c r="F66" s="17">
        <f>104-E66</f>
        <v>0</v>
      </c>
      <c r="G66" s="26"/>
      <c r="H66" s="129"/>
    </row>
    <row r="67" spans="1:8" x14ac:dyDescent="0.25">
      <c r="A67" s="125"/>
      <c r="B67" s="16" t="s">
        <v>32</v>
      </c>
      <c r="C67" s="17"/>
      <c r="D67" s="17"/>
      <c r="E67" s="17">
        <f>2*52</f>
        <v>104</v>
      </c>
      <c r="F67" s="17">
        <f>104-E67</f>
        <v>0</v>
      </c>
      <c r="G67" s="26"/>
      <c r="H67" s="129"/>
    </row>
    <row r="68" spans="1:8" x14ac:dyDescent="0.25">
      <c r="A68" s="125"/>
      <c r="B68" s="16" t="s">
        <v>14</v>
      </c>
      <c r="C68" s="17"/>
      <c r="D68" s="17"/>
      <c r="E68" s="17">
        <f>4*52</f>
        <v>208</v>
      </c>
      <c r="F68" s="17">
        <f>208-E68</f>
        <v>0</v>
      </c>
      <c r="G68" s="26"/>
      <c r="H68" s="129"/>
    </row>
    <row r="69" spans="1:8" x14ac:dyDescent="0.25">
      <c r="A69" s="125"/>
      <c r="B69" s="16" t="s">
        <v>19</v>
      </c>
      <c r="C69" s="17"/>
      <c r="D69" s="17"/>
      <c r="E69" s="17">
        <f t="shared" si="1"/>
        <v>104</v>
      </c>
      <c r="F69" s="17">
        <f>104-E69</f>
        <v>0</v>
      </c>
      <c r="G69" s="26"/>
      <c r="H69" s="129"/>
    </row>
    <row r="70" spans="1:8" ht="15.75" thickBot="1" x14ac:dyDescent="0.3">
      <c r="A70" s="126"/>
      <c r="B70" s="20" t="s">
        <v>33</v>
      </c>
      <c r="C70" s="15"/>
      <c r="D70" s="15"/>
      <c r="E70" s="15">
        <f t="shared" si="1"/>
        <v>104</v>
      </c>
      <c r="F70" s="15">
        <f>104-E70</f>
        <v>0</v>
      </c>
      <c r="G70" s="25"/>
      <c r="H70" s="129"/>
    </row>
    <row r="71" spans="1:8" ht="15.75" thickBot="1" x14ac:dyDescent="0.3">
      <c r="C71" s="5"/>
      <c r="D71" s="5"/>
      <c r="E71" s="58" t="s">
        <v>125</v>
      </c>
      <c r="F71" s="59">
        <f>SUM(C5:F70)</f>
        <v>31624.403333333346</v>
      </c>
      <c r="G71" s="28">
        <f>SUM(G5:G70)</f>
        <v>0</v>
      </c>
    </row>
    <row r="72" spans="1:8" ht="15.75" thickBot="1" x14ac:dyDescent="0.3">
      <c r="C72" s="5"/>
      <c r="D72" s="5"/>
      <c r="E72" s="100"/>
      <c r="F72" s="90"/>
      <c r="G72" s="29"/>
    </row>
    <row r="73" spans="1:8" ht="15.75" thickBot="1" x14ac:dyDescent="0.3">
      <c r="A73" s="96"/>
      <c r="B73" s="121" t="s">
        <v>141</v>
      </c>
      <c r="C73" s="122"/>
      <c r="D73" s="122"/>
      <c r="E73" s="123"/>
    </row>
    <row r="74" spans="1:8" ht="15.75" thickBot="1" x14ac:dyDescent="0.3">
      <c r="A74" s="97"/>
      <c r="B74" s="8" t="s">
        <v>136</v>
      </c>
      <c r="C74" s="95" t="s">
        <v>137</v>
      </c>
      <c r="D74" s="101" t="s">
        <v>8</v>
      </c>
      <c r="E74" s="102" t="s">
        <v>130</v>
      </c>
    </row>
    <row r="75" spans="1:8" ht="15.75" thickBot="1" x14ac:dyDescent="0.3">
      <c r="A75" s="97"/>
      <c r="B75" s="8" t="s">
        <v>142</v>
      </c>
      <c r="C75" s="23"/>
      <c r="D75" s="98"/>
      <c r="E75" s="99"/>
    </row>
    <row r="76" spans="1:8" ht="15.75" thickBot="1" x14ac:dyDescent="0.3">
      <c r="A76" s="97"/>
      <c r="B76" s="8" t="s">
        <v>131</v>
      </c>
      <c r="C76" s="23"/>
      <c r="D76" s="98"/>
      <c r="E76" s="99"/>
    </row>
    <row r="77" spans="1:8" ht="21.75" thickBot="1" x14ac:dyDescent="0.3">
      <c r="B77" s="103" t="s">
        <v>138</v>
      </c>
      <c r="C77" s="99"/>
      <c r="D77" s="28"/>
      <c r="E77" s="99"/>
      <c r="F77" s="94"/>
      <c r="G77" s="27"/>
    </row>
    <row r="78" spans="1:8" x14ac:dyDescent="0.25">
      <c r="B78" s="3" t="s">
        <v>139</v>
      </c>
      <c r="D78" s="29"/>
      <c r="E78" s="29"/>
      <c r="F78" s="29"/>
    </row>
    <row r="79" spans="1:8" x14ac:dyDescent="0.25">
      <c r="E79" s="5"/>
    </row>
    <row r="81" spans="2:3" x14ac:dyDescent="0.25">
      <c r="B81" s="1"/>
      <c r="C81" s="1"/>
    </row>
  </sheetData>
  <mergeCells count="15">
    <mergeCell ref="B73:E73"/>
    <mergeCell ref="A64:A70"/>
    <mergeCell ref="A5:A6"/>
    <mergeCell ref="A11:A22"/>
    <mergeCell ref="H64:H70"/>
    <mergeCell ref="A2:G2"/>
    <mergeCell ref="A7:A10"/>
    <mergeCell ref="A37:A47"/>
    <mergeCell ref="A48:A63"/>
    <mergeCell ref="G3:G4"/>
    <mergeCell ref="A23:A36"/>
    <mergeCell ref="E3:F3"/>
    <mergeCell ref="A3:A4"/>
    <mergeCell ref="B3:B4"/>
    <mergeCell ref="C3:D3"/>
  </mergeCells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B4E05-B0E5-44DB-A60A-F73F7EE8BB9B}">
  <dimension ref="A1:G62"/>
  <sheetViews>
    <sheetView topLeftCell="A28" zoomScale="85" zoomScaleNormal="85" workbookViewId="0">
      <selection activeCell="E66" sqref="E66"/>
    </sheetView>
  </sheetViews>
  <sheetFormatPr baseColWidth="10" defaultColWidth="11" defaultRowHeight="15" x14ac:dyDescent="0.25"/>
  <cols>
    <col min="1" max="1" width="24.5703125" style="1" bestFit="1" customWidth="1"/>
    <col min="2" max="2" width="25.42578125" style="3" bestFit="1" customWidth="1"/>
    <col min="3" max="3" width="12.5703125" style="3" bestFit="1" customWidth="1"/>
    <col min="4" max="4" width="10" style="3" bestFit="1" customWidth="1"/>
    <col min="5" max="5" width="16.28515625" style="3" customWidth="1"/>
    <col min="6" max="6" width="12.140625" style="3" bestFit="1" customWidth="1"/>
    <col min="7" max="7" width="31.7109375" style="3" bestFit="1" customWidth="1"/>
    <col min="8" max="16384" width="11" style="3"/>
  </cols>
  <sheetData>
    <row r="1" spans="1:7" ht="15.75" thickBot="1" x14ac:dyDescent="0.3"/>
    <row r="2" spans="1:7" ht="15.75" thickBot="1" x14ac:dyDescent="0.3">
      <c r="A2" s="104" t="s">
        <v>74</v>
      </c>
      <c r="B2" s="105"/>
      <c r="C2" s="105"/>
      <c r="D2" s="105"/>
      <c r="E2" s="105"/>
      <c r="F2" s="105"/>
      <c r="G2" s="105"/>
    </row>
    <row r="3" spans="1:7" s="2" customFormat="1" ht="30" customHeight="1" thickBot="1" x14ac:dyDescent="0.3">
      <c r="A3" s="113" t="s">
        <v>73</v>
      </c>
      <c r="B3" s="119" t="s">
        <v>7</v>
      </c>
      <c r="C3" s="117" t="s">
        <v>143</v>
      </c>
      <c r="D3" s="118"/>
      <c r="E3" s="117" t="s">
        <v>72</v>
      </c>
      <c r="F3" s="118"/>
      <c r="G3" s="113" t="s">
        <v>68</v>
      </c>
    </row>
    <row r="4" spans="1:7" s="4" customFormat="1" ht="15.75" thickBot="1" x14ac:dyDescent="0.3">
      <c r="A4" s="114"/>
      <c r="B4" s="120"/>
      <c r="C4" s="34" t="s">
        <v>2</v>
      </c>
      <c r="D4" s="34" t="s">
        <v>8</v>
      </c>
      <c r="E4" s="34" t="s">
        <v>70</v>
      </c>
      <c r="F4" s="34" t="s">
        <v>71</v>
      </c>
      <c r="G4" s="114"/>
    </row>
    <row r="5" spans="1:7" ht="15.75" thickBot="1" x14ac:dyDescent="0.3">
      <c r="A5" s="38" t="s">
        <v>3</v>
      </c>
      <c r="B5" s="39" t="s">
        <v>4</v>
      </c>
      <c r="C5" s="40">
        <v>2593.5</v>
      </c>
      <c r="D5" s="40"/>
      <c r="E5" s="40">
        <v>300</v>
      </c>
      <c r="F5" s="36">
        <v>0</v>
      </c>
      <c r="G5" s="37"/>
    </row>
    <row r="6" spans="1:7" ht="15.75" thickBot="1" x14ac:dyDescent="0.3">
      <c r="A6" s="50" t="s">
        <v>6</v>
      </c>
      <c r="B6" s="64" t="s">
        <v>5</v>
      </c>
      <c r="C6" s="65">
        <v>1118</v>
      </c>
      <c r="D6" s="65">
        <v>132</v>
      </c>
      <c r="E6" s="65">
        <v>68.67</v>
      </c>
      <c r="F6" s="66">
        <v>0</v>
      </c>
      <c r="G6" s="67"/>
    </row>
    <row r="7" spans="1:7" x14ac:dyDescent="0.25">
      <c r="A7" s="124" t="s">
        <v>26</v>
      </c>
      <c r="B7" s="41" t="s">
        <v>84</v>
      </c>
      <c r="C7" s="42">
        <v>617.5</v>
      </c>
      <c r="D7" s="42">
        <v>236</v>
      </c>
      <c r="E7" s="42">
        <v>201.67</v>
      </c>
      <c r="F7" s="42">
        <f>201.67-E7</f>
        <v>0</v>
      </c>
      <c r="G7" s="24"/>
    </row>
    <row r="8" spans="1:7" x14ac:dyDescent="0.25">
      <c r="A8" s="125"/>
      <c r="B8" s="43" t="s">
        <v>85</v>
      </c>
      <c r="C8" s="44">
        <v>617.5</v>
      </c>
      <c r="D8" s="44">
        <v>236</v>
      </c>
      <c r="E8" s="44">
        <v>60.67</v>
      </c>
      <c r="F8" s="44">
        <f>60.67-E8</f>
        <v>0</v>
      </c>
      <c r="G8" s="26"/>
    </row>
    <row r="9" spans="1:7" x14ac:dyDescent="0.25">
      <c r="A9" s="125"/>
      <c r="B9" s="43" t="s">
        <v>86</v>
      </c>
      <c r="C9" s="44">
        <v>448.5</v>
      </c>
      <c r="D9" s="44">
        <v>99</v>
      </c>
      <c r="E9" s="44">
        <v>60.67</v>
      </c>
      <c r="F9" s="44">
        <f>60.67-E9</f>
        <v>0</v>
      </c>
      <c r="G9" s="26"/>
    </row>
    <row r="10" spans="1:7" x14ac:dyDescent="0.25">
      <c r="A10" s="125"/>
      <c r="B10" s="43" t="s">
        <v>87</v>
      </c>
      <c r="C10" s="44">
        <v>494</v>
      </c>
      <c r="D10" s="44">
        <v>118</v>
      </c>
      <c r="E10" s="44">
        <f>87-(12/34*6)-1.5</f>
        <v>83.382352941176464</v>
      </c>
      <c r="F10" s="44">
        <f>87-E10</f>
        <v>3.6176470588235361</v>
      </c>
      <c r="G10" s="26"/>
    </row>
    <row r="11" spans="1:7" x14ac:dyDescent="0.25">
      <c r="A11" s="125"/>
      <c r="B11" s="43" t="s">
        <v>88</v>
      </c>
      <c r="C11" s="44">
        <v>239.2</v>
      </c>
      <c r="D11" s="44">
        <v>52.8</v>
      </c>
      <c r="E11" s="44">
        <f>65-(9.33/34*6)-1.5</f>
        <v>61.853529411764704</v>
      </c>
      <c r="F11" s="44">
        <f>65-E11</f>
        <v>3.1464705882352959</v>
      </c>
      <c r="G11" s="26"/>
    </row>
    <row r="12" spans="1:7" x14ac:dyDescent="0.25">
      <c r="A12" s="125"/>
      <c r="B12" s="43" t="s">
        <v>89</v>
      </c>
      <c r="C12" s="44">
        <v>494</v>
      </c>
      <c r="D12" s="44">
        <v>118</v>
      </c>
      <c r="E12" s="44">
        <f>82.67-(11.5/34*6)-4</f>
        <v>76.640588235294118</v>
      </c>
      <c r="F12" s="44">
        <f>82.67-E12</f>
        <v>6.029411764705884</v>
      </c>
      <c r="G12" s="26"/>
    </row>
    <row r="13" spans="1:7" x14ac:dyDescent="0.25">
      <c r="A13" s="125"/>
      <c r="B13" s="43" t="s">
        <v>90</v>
      </c>
      <c r="C13" s="44">
        <v>494</v>
      </c>
      <c r="D13" s="44">
        <v>118</v>
      </c>
      <c r="E13" s="44">
        <f>87-(12.33/34*6)-1.5</f>
        <v>83.324117647058827</v>
      </c>
      <c r="F13" s="44">
        <f>87-E13</f>
        <v>3.6758823529411728</v>
      </c>
      <c r="G13" s="26"/>
    </row>
    <row r="14" spans="1:7" x14ac:dyDescent="0.25">
      <c r="A14" s="125"/>
      <c r="B14" s="43" t="s">
        <v>91</v>
      </c>
      <c r="C14" s="44">
        <v>494</v>
      </c>
      <c r="D14" s="44">
        <v>118</v>
      </c>
      <c r="E14" s="44">
        <v>77.33</v>
      </c>
      <c r="F14" s="44">
        <f>77.33-E14</f>
        <v>0</v>
      </c>
      <c r="G14" s="26"/>
    </row>
    <row r="15" spans="1:7" x14ac:dyDescent="0.25">
      <c r="A15" s="125"/>
      <c r="B15" s="43" t="s">
        <v>92</v>
      </c>
      <c r="C15" s="44">
        <f>40/60*247</f>
        <v>164.66666666666666</v>
      </c>
      <c r="D15" s="44">
        <f>40/60*66</f>
        <v>44</v>
      </c>
      <c r="E15" s="44">
        <f>57-(8/28*6)-3</f>
        <v>52.285714285714285</v>
      </c>
      <c r="F15" s="44">
        <f>57-E15</f>
        <v>4.7142857142857153</v>
      </c>
      <c r="G15" s="26"/>
    </row>
    <row r="16" spans="1:7" x14ac:dyDescent="0.25">
      <c r="A16" s="125"/>
      <c r="B16" s="43" t="s">
        <v>93</v>
      </c>
      <c r="C16" s="44">
        <f>2*52</f>
        <v>104</v>
      </c>
      <c r="D16" s="44">
        <v>0</v>
      </c>
      <c r="E16" s="44">
        <f>69-(9.83/28*6)-4</f>
        <v>62.893571428571434</v>
      </c>
      <c r="F16" s="44">
        <f>69-E16</f>
        <v>6.106428571428566</v>
      </c>
      <c r="G16" s="26"/>
    </row>
    <row r="17" spans="1:7" x14ac:dyDescent="0.25">
      <c r="A17" s="125"/>
      <c r="B17" s="43" t="s">
        <v>94</v>
      </c>
      <c r="C17" s="44">
        <v>165.49</v>
      </c>
      <c r="D17" s="44">
        <v>8.67</v>
      </c>
      <c r="E17" s="44">
        <f>67-(10/28*6)-3</f>
        <v>61.857142857142861</v>
      </c>
      <c r="F17" s="44">
        <f>67-E17</f>
        <v>5.1428571428571388</v>
      </c>
      <c r="G17" s="26"/>
    </row>
    <row r="18" spans="1:7" x14ac:dyDescent="0.25">
      <c r="A18" s="125"/>
      <c r="B18" s="43" t="s">
        <v>95</v>
      </c>
      <c r="C18" s="44">
        <f>0.5*247</f>
        <v>123.5</v>
      </c>
      <c r="D18" s="44">
        <f>0.5*66</f>
        <v>33</v>
      </c>
      <c r="E18" s="44">
        <f>67-(9.33/31*6)-0</f>
        <v>65.194193548387091</v>
      </c>
      <c r="F18" s="44">
        <f>67-E18</f>
        <v>1.8058064516129093</v>
      </c>
      <c r="G18" s="26"/>
    </row>
    <row r="19" spans="1:7" x14ac:dyDescent="0.25">
      <c r="A19" s="125"/>
      <c r="B19" s="43" t="s">
        <v>96</v>
      </c>
      <c r="C19" s="44">
        <f>0.5*52</f>
        <v>26</v>
      </c>
      <c r="D19" s="44">
        <v>26</v>
      </c>
      <c r="E19" s="44">
        <f>34.67-(5/23*6)-3</f>
        <v>30.365652173913048</v>
      </c>
      <c r="F19" s="44">
        <f>34.67-E19</f>
        <v>4.3043478260869534</v>
      </c>
      <c r="G19" s="26"/>
    </row>
    <row r="20" spans="1:7" x14ac:dyDescent="0.25">
      <c r="A20" s="125"/>
      <c r="B20" s="43" t="s">
        <v>97</v>
      </c>
      <c r="C20" s="44">
        <f>0.5*52</f>
        <v>26</v>
      </c>
      <c r="D20" s="44">
        <v>26</v>
      </c>
      <c r="E20" s="44">
        <f>45-(6.83/23*6)-3</f>
        <v>40.218260869565221</v>
      </c>
      <c r="F20" s="44">
        <f>45-E20</f>
        <v>4.7817391304347794</v>
      </c>
      <c r="G20" s="26"/>
    </row>
    <row r="21" spans="1:7" x14ac:dyDescent="0.25">
      <c r="A21" s="125"/>
      <c r="B21" s="43" t="s">
        <v>98</v>
      </c>
      <c r="C21" s="44">
        <f>36/60*247</f>
        <v>148.19999999999999</v>
      </c>
      <c r="D21" s="44">
        <f>36/60*14</f>
        <v>8.4</v>
      </c>
      <c r="E21" s="44">
        <v>0</v>
      </c>
      <c r="F21" s="44">
        <v>0</v>
      </c>
      <c r="G21" s="26"/>
    </row>
    <row r="22" spans="1:7" x14ac:dyDescent="0.25">
      <c r="A22" s="125"/>
      <c r="B22" s="43" t="s">
        <v>99</v>
      </c>
      <c r="C22" s="44">
        <v>52</v>
      </c>
      <c r="D22" s="44">
        <f>78-C22</f>
        <v>26</v>
      </c>
      <c r="E22" s="44">
        <f>35.67-(5.67/23*6)-0</f>
        <v>34.19086956521739</v>
      </c>
      <c r="F22" s="44">
        <f>35.67-E22</f>
        <v>1.4791304347826113</v>
      </c>
      <c r="G22" s="26"/>
    </row>
    <row r="23" spans="1:7" x14ac:dyDescent="0.25">
      <c r="A23" s="125"/>
      <c r="B23" s="43" t="s">
        <v>100</v>
      </c>
      <c r="C23" s="44">
        <v>52</v>
      </c>
      <c r="D23" s="44">
        <f>78-C23</f>
        <v>26</v>
      </c>
      <c r="E23" s="44">
        <f>34-(5.6/23*6)-2</f>
        <v>30.539130434782606</v>
      </c>
      <c r="F23" s="44">
        <f>34-E23</f>
        <v>3.4608695652173935</v>
      </c>
      <c r="G23" s="26"/>
    </row>
    <row r="24" spans="1:7" x14ac:dyDescent="0.25">
      <c r="A24" s="125"/>
      <c r="B24" s="43" t="s">
        <v>101</v>
      </c>
      <c r="C24" s="44">
        <v>26</v>
      </c>
      <c r="D24" s="44">
        <v>0</v>
      </c>
      <c r="E24" s="44">
        <f>40.33-(6/23*6)-2</f>
        <v>36.764782608695654</v>
      </c>
      <c r="F24" s="44">
        <f>40.33-E24</f>
        <v>3.5652173913043441</v>
      </c>
      <c r="G24" s="26"/>
    </row>
    <row r="25" spans="1:7" x14ac:dyDescent="0.25">
      <c r="A25" s="125"/>
      <c r="B25" s="43" t="s">
        <v>102</v>
      </c>
      <c r="C25" s="44">
        <v>26</v>
      </c>
      <c r="D25" s="44">
        <v>0</v>
      </c>
      <c r="E25" s="44">
        <f>31.67-(4.83/23*6)-2</f>
        <v>28.41</v>
      </c>
      <c r="F25" s="44">
        <f>31.67-E25</f>
        <v>3.2600000000000016</v>
      </c>
      <c r="G25" s="26"/>
    </row>
    <row r="26" spans="1:7" ht="15.75" thickBot="1" x14ac:dyDescent="0.3">
      <c r="A26" s="126"/>
      <c r="B26" s="88" t="s">
        <v>103</v>
      </c>
      <c r="C26" s="45">
        <f>1*299</f>
        <v>299</v>
      </c>
      <c r="D26" s="45">
        <f>1*66</f>
        <v>66</v>
      </c>
      <c r="E26" s="45">
        <v>33.9</v>
      </c>
      <c r="F26" s="45">
        <v>2.4300000000000002</v>
      </c>
      <c r="G26" s="25"/>
    </row>
    <row r="27" spans="1:7" x14ac:dyDescent="0.25">
      <c r="A27" s="112" t="s">
        <v>124</v>
      </c>
      <c r="B27" s="51" t="s">
        <v>104</v>
      </c>
      <c r="C27" s="52">
        <v>988</v>
      </c>
      <c r="D27" s="52">
        <f>1654-E27</f>
        <v>354</v>
      </c>
      <c r="E27" s="52">
        <v>1300</v>
      </c>
      <c r="F27" s="35">
        <v>0</v>
      </c>
      <c r="G27" s="91"/>
    </row>
    <row r="28" spans="1:7" x14ac:dyDescent="0.25">
      <c r="A28" s="107"/>
      <c r="B28" s="53" t="s">
        <v>105</v>
      </c>
      <c r="C28" s="54">
        <v>988</v>
      </c>
      <c r="D28" s="54">
        <f>1654-E28</f>
        <v>354</v>
      </c>
      <c r="E28" s="54">
        <v>1300</v>
      </c>
      <c r="F28" s="6">
        <v>0</v>
      </c>
      <c r="G28" s="92"/>
    </row>
    <row r="29" spans="1:7" x14ac:dyDescent="0.25">
      <c r="A29" s="107"/>
      <c r="B29" s="53" t="s">
        <v>5</v>
      </c>
      <c r="C29" s="54">
        <v>1976</v>
      </c>
      <c r="D29" s="54">
        <v>767</v>
      </c>
      <c r="E29" s="54">
        <f>166-(24.87/33*6)-2</f>
        <v>159.47818181818181</v>
      </c>
      <c r="F29" s="6">
        <f>166-E29</f>
        <v>6.5218181818181904</v>
      </c>
      <c r="G29" s="92"/>
    </row>
    <row r="30" spans="1:7" x14ac:dyDescent="0.25">
      <c r="A30" s="107"/>
      <c r="B30" s="53" t="s">
        <v>106</v>
      </c>
      <c r="C30" s="54">
        <f>1.5*247</f>
        <v>370.5</v>
      </c>
      <c r="D30" s="54">
        <f>1.5*118</f>
        <v>177</v>
      </c>
      <c r="E30" s="54">
        <f>65.33-(9.67/34*6)-0</f>
        <v>63.623529411764707</v>
      </c>
      <c r="F30" s="6">
        <f>65.33-E30</f>
        <v>1.7064705882352911</v>
      </c>
      <c r="G30" s="92"/>
    </row>
    <row r="31" spans="1:7" x14ac:dyDescent="0.25">
      <c r="A31" s="107"/>
      <c r="B31" s="53" t="s">
        <v>107</v>
      </c>
      <c r="C31" s="54">
        <f>2*247</f>
        <v>494</v>
      </c>
      <c r="D31" s="54">
        <v>236</v>
      </c>
      <c r="E31" s="54">
        <f>82.67-(11.67/34*6)-0</f>
        <v>80.610588235294117</v>
      </c>
      <c r="F31" s="6">
        <f>82.67-E31</f>
        <v>2.0594117647058852</v>
      </c>
      <c r="G31" s="92"/>
    </row>
    <row r="32" spans="1:7" x14ac:dyDescent="0.25">
      <c r="A32" s="107"/>
      <c r="B32" s="53" t="s">
        <v>108</v>
      </c>
      <c r="C32" s="54">
        <v>839.8</v>
      </c>
      <c r="D32" s="54">
        <v>295</v>
      </c>
      <c r="E32" s="54">
        <f>68.33-(10.6/34*6)-0</f>
        <v>66.459411764705877</v>
      </c>
      <c r="F32" s="6">
        <f>68.33-E32</f>
        <v>1.8705882352941217</v>
      </c>
      <c r="G32" s="92"/>
    </row>
    <row r="33" spans="1:7" x14ac:dyDescent="0.25">
      <c r="A33" s="107"/>
      <c r="B33" s="53" t="s">
        <v>109</v>
      </c>
      <c r="C33" s="54">
        <v>432.25</v>
      </c>
      <c r="D33" s="54">
        <v>118</v>
      </c>
      <c r="E33" s="54">
        <f>74.67-(10/34*6)-0</f>
        <v>72.90529411764706</v>
      </c>
      <c r="F33" s="6">
        <f>74.67-E33</f>
        <v>1.764705882352942</v>
      </c>
      <c r="G33" s="92"/>
    </row>
    <row r="34" spans="1:7" x14ac:dyDescent="0.25">
      <c r="A34" s="107"/>
      <c r="B34" s="53" t="s">
        <v>110</v>
      </c>
      <c r="C34" s="54">
        <f>2*247</f>
        <v>494</v>
      </c>
      <c r="D34" s="54">
        <f>2*118</f>
        <v>236</v>
      </c>
      <c r="E34" s="54">
        <f>52.67-(7.67/34*6)-0</f>
        <v>51.316470588235298</v>
      </c>
      <c r="F34" s="6">
        <f>52.67-E34</f>
        <v>1.3535294117647041</v>
      </c>
      <c r="G34" s="92"/>
    </row>
    <row r="35" spans="1:7" x14ac:dyDescent="0.25">
      <c r="A35" s="107"/>
      <c r="B35" s="53" t="s">
        <v>111</v>
      </c>
      <c r="C35" s="54">
        <f>(1+50/60)*247</f>
        <v>452.83333333333337</v>
      </c>
      <c r="D35" s="54">
        <v>118</v>
      </c>
      <c r="E35" s="54">
        <f>77.83-(10.5/34*6)-0</f>
        <v>75.977058823529404</v>
      </c>
      <c r="F35" s="6">
        <f>77.83-E35</f>
        <v>1.8529411764705941</v>
      </c>
      <c r="G35" s="92"/>
    </row>
    <row r="36" spans="1:7" x14ac:dyDescent="0.25">
      <c r="A36" s="107"/>
      <c r="B36" s="53" t="s">
        <v>112</v>
      </c>
      <c r="C36" s="54">
        <v>448.5</v>
      </c>
      <c r="D36" s="54">
        <v>118</v>
      </c>
      <c r="E36" s="54">
        <f>72.67-(10.6/34*6)-1.5</f>
        <v>69.29941176470588</v>
      </c>
      <c r="F36" s="6">
        <f>72.67-E36</f>
        <v>3.3705882352941217</v>
      </c>
      <c r="G36" s="92"/>
    </row>
    <row r="37" spans="1:7" x14ac:dyDescent="0.25">
      <c r="A37" s="107"/>
      <c r="B37" s="53" t="s">
        <v>113</v>
      </c>
      <c r="C37" s="54">
        <v>370.5</v>
      </c>
      <c r="D37" s="54">
        <v>118</v>
      </c>
      <c r="E37" s="54">
        <f>88.33-(12.67/34*6)-0</f>
        <v>86.094117647058823</v>
      </c>
      <c r="F37" s="6">
        <f>88.33-E37</f>
        <v>2.2358823529411751</v>
      </c>
      <c r="G37" s="92"/>
    </row>
    <row r="38" spans="1:7" x14ac:dyDescent="0.25">
      <c r="A38" s="107"/>
      <c r="B38" s="53" t="s">
        <v>114</v>
      </c>
      <c r="C38" s="54">
        <v>422.5</v>
      </c>
      <c r="D38" s="54">
        <v>118</v>
      </c>
      <c r="E38" s="54">
        <f>97.33-(14/34*6)-0</f>
        <v>94.859411764705882</v>
      </c>
      <c r="F38" s="6">
        <f>97.33-E38</f>
        <v>2.470588235294116</v>
      </c>
      <c r="G38" s="92"/>
    </row>
    <row r="39" spans="1:7" x14ac:dyDescent="0.25">
      <c r="A39" s="107"/>
      <c r="B39" s="53" t="s">
        <v>115</v>
      </c>
      <c r="C39" s="54">
        <v>741</v>
      </c>
      <c r="D39" s="54">
        <v>295</v>
      </c>
      <c r="E39" s="54">
        <f>80.33-(11.33/34*6)-1.5</f>
        <v>76.830588235294115</v>
      </c>
      <c r="F39" s="6">
        <f>80.33-E39</f>
        <v>3.4994117647058829</v>
      </c>
      <c r="G39" s="92"/>
    </row>
    <row r="40" spans="1:7" x14ac:dyDescent="0.25">
      <c r="A40" s="107"/>
      <c r="B40" s="53" t="s">
        <v>116</v>
      </c>
      <c r="C40" s="54">
        <f>3.5*247</f>
        <v>864.5</v>
      </c>
      <c r="D40" s="54">
        <v>118</v>
      </c>
      <c r="E40" s="54">
        <f>116-(16/28*6)-0</f>
        <v>112.57142857142857</v>
      </c>
      <c r="F40" s="6">
        <f>116-E40</f>
        <v>3.4285714285714306</v>
      </c>
      <c r="G40" s="92"/>
    </row>
    <row r="41" spans="1:7" x14ac:dyDescent="0.25">
      <c r="A41" s="107"/>
      <c r="B41" s="53" t="s">
        <v>117</v>
      </c>
      <c r="C41" s="54">
        <f>2*247</f>
        <v>494</v>
      </c>
      <c r="D41" s="54">
        <f>1*118</f>
        <v>118</v>
      </c>
      <c r="E41" s="54">
        <f>94-(14/28*6)-0</f>
        <v>91</v>
      </c>
      <c r="F41" s="6">
        <f>94-E41</f>
        <v>3</v>
      </c>
      <c r="G41" s="92"/>
    </row>
    <row r="42" spans="1:7" x14ac:dyDescent="0.25">
      <c r="A42" s="107"/>
      <c r="B42" s="53" t="s">
        <v>118</v>
      </c>
      <c r="C42" s="54">
        <f>48/60*247</f>
        <v>197.60000000000002</v>
      </c>
      <c r="D42" s="54">
        <v>33</v>
      </c>
      <c r="E42" s="54">
        <f>63.67-(8.83/31*6)-0</f>
        <v>61.960967741935484</v>
      </c>
      <c r="F42" s="6">
        <f>63.67-E42</f>
        <v>1.7090322580645179</v>
      </c>
      <c r="G42" s="92"/>
    </row>
    <row r="43" spans="1:7" x14ac:dyDescent="0.25">
      <c r="A43" s="107"/>
      <c r="B43" s="53" t="s">
        <v>119</v>
      </c>
      <c r="C43" s="54">
        <f>0.5*3*52</f>
        <v>78</v>
      </c>
      <c r="D43" s="54">
        <v>33</v>
      </c>
      <c r="E43" s="54">
        <f>62.67-(9/31*6)-1</f>
        <v>59.928064516129034</v>
      </c>
      <c r="F43" s="6">
        <f>62.67-E43</f>
        <v>2.741935483870968</v>
      </c>
      <c r="G43" s="92"/>
    </row>
    <row r="44" spans="1:7" x14ac:dyDescent="0.25">
      <c r="A44" s="107"/>
      <c r="B44" s="53" t="s">
        <v>120</v>
      </c>
      <c r="C44" s="54">
        <f>0.5*247</f>
        <v>123.5</v>
      </c>
      <c r="D44" s="54">
        <f>0.5*66</f>
        <v>33</v>
      </c>
      <c r="E44" s="54">
        <f>65.67-(9/31*6)-2</f>
        <v>61.928064516129034</v>
      </c>
      <c r="F44" s="6">
        <f>65.67-E44</f>
        <v>3.741935483870968</v>
      </c>
      <c r="G44" s="92"/>
    </row>
    <row r="45" spans="1:7" x14ac:dyDescent="0.25">
      <c r="A45" s="107"/>
      <c r="B45" s="53" t="s">
        <v>121</v>
      </c>
      <c r="C45" s="54">
        <f>50/60*3*52</f>
        <v>130</v>
      </c>
      <c r="D45" s="54">
        <f>50/60*66</f>
        <v>55</v>
      </c>
      <c r="E45" s="54">
        <f>40.33-(6.6/23*6)-2</f>
        <v>36.608260869565214</v>
      </c>
      <c r="F45" s="6">
        <f>40.33-E45</f>
        <v>3.7217391304347842</v>
      </c>
      <c r="G45" s="92"/>
    </row>
    <row r="46" spans="1:7" x14ac:dyDescent="0.25">
      <c r="A46" s="107"/>
      <c r="B46" s="53" t="s">
        <v>122</v>
      </c>
      <c r="C46" s="55">
        <f>26</f>
        <v>26</v>
      </c>
      <c r="D46" s="55"/>
      <c r="E46" s="54">
        <f>35.33-(5.6/23*6)-3</f>
        <v>30.869130434782605</v>
      </c>
      <c r="F46" s="6">
        <f>35.33-E46</f>
        <v>4.4608695652173935</v>
      </c>
      <c r="G46" s="92"/>
    </row>
    <row r="47" spans="1:7" ht="15.75" thickBot="1" x14ac:dyDescent="0.3">
      <c r="A47" s="108"/>
      <c r="B47" s="56" t="s">
        <v>123</v>
      </c>
      <c r="C47" s="57">
        <f>0.5*3*52</f>
        <v>78</v>
      </c>
      <c r="D47" s="57">
        <f>0.5*66</f>
        <v>33</v>
      </c>
      <c r="E47" s="57">
        <f>39.33-(5.83/23*6)-3</f>
        <v>34.80913043478261</v>
      </c>
      <c r="F47" s="11">
        <f>39.33-E47</f>
        <v>4.5208695652173887</v>
      </c>
      <c r="G47" s="93"/>
    </row>
    <row r="48" spans="1:7" x14ac:dyDescent="0.25">
      <c r="A48" s="109" t="s">
        <v>67</v>
      </c>
      <c r="B48" s="49" t="s">
        <v>87</v>
      </c>
      <c r="C48" s="42"/>
      <c r="D48" s="42"/>
      <c r="E48" s="42">
        <v>104</v>
      </c>
      <c r="F48" s="13"/>
      <c r="G48" s="24"/>
    </row>
    <row r="49" spans="1:7" x14ac:dyDescent="0.25">
      <c r="A49" s="110"/>
      <c r="B49" s="46" t="s">
        <v>92</v>
      </c>
      <c r="C49" s="47"/>
      <c r="D49" s="47"/>
      <c r="E49" s="44">
        <v>104</v>
      </c>
      <c r="F49" s="17"/>
      <c r="G49" s="26"/>
    </row>
    <row r="50" spans="1:7" x14ac:dyDescent="0.25">
      <c r="A50" s="110"/>
      <c r="B50" s="46" t="s">
        <v>89</v>
      </c>
      <c r="C50" s="44"/>
      <c r="D50" s="44"/>
      <c r="E50" s="44">
        <v>104</v>
      </c>
      <c r="F50" s="17"/>
      <c r="G50" s="26"/>
    </row>
    <row r="51" spans="1:7" x14ac:dyDescent="0.25">
      <c r="A51" s="110"/>
      <c r="B51" s="46" t="s">
        <v>112</v>
      </c>
      <c r="C51" s="44"/>
      <c r="D51" s="44"/>
      <c r="E51" s="44">
        <v>104</v>
      </c>
      <c r="F51" s="17"/>
      <c r="G51" s="26"/>
    </row>
    <row r="52" spans="1:7" x14ac:dyDescent="0.25">
      <c r="A52" s="110"/>
      <c r="B52" s="46" t="s">
        <v>120</v>
      </c>
      <c r="C52" s="47"/>
      <c r="D52" s="44"/>
      <c r="E52" s="44">
        <v>104</v>
      </c>
      <c r="F52" s="17"/>
      <c r="G52" s="26"/>
    </row>
    <row r="53" spans="1:7" x14ac:dyDescent="0.25">
      <c r="A53" s="110"/>
      <c r="B53" s="46" t="s">
        <v>115</v>
      </c>
      <c r="C53" s="44"/>
      <c r="D53" s="44"/>
      <c r="E53" s="44">
        <v>104</v>
      </c>
      <c r="F53" s="17"/>
      <c r="G53" s="26"/>
    </row>
    <row r="54" spans="1:7" ht="15.75" thickBot="1" x14ac:dyDescent="0.3">
      <c r="A54" s="111"/>
      <c r="B54" s="48" t="s">
        <v>111</v>
      </c>
      <c r="C54" s="45"/>
      <c r="D54" s="45"/>
      <c r="E54" s="45">
        <v>208</v>
      </c>
      <c r="F54" s="15"/>
      <c r="G54" s="25"/>
    </row>
    <row r="55" spans="1:7" ht="15.75" thickBot="1" x14ac:dyDescent="0.3">
      <c r="C55" s="5"/>
      <c r="D55" s="5"/>
      <c r="E55" s="58" t="s">
        <v>125</v>
      </c>
      <c r="F55" s="59">
        <f>SUM(C5:F54)</f>
        <v>31534.920000000002</v>
      </c>
      <c r="G55" s="27"/>
    </row>
    <row r="56" spans="1:7" ht="15.75" thickBot="1" x14ac:dyDescent="0.3"/>
    <row r="57" spans="1:7" ht="15.75" thickBot="1" x14ac:dyDescent="0.3">
      <c r="B57" s="121" t="s">
        <v>144</v>
      </c>
      <c r="C57" s="122"/>
      <c r="D57" s="122"/>
      <c r="E57" s="123"/>
      <c r="G57" s="27"/>
    </row>
    <row r="58" spans="1:7" ht="15.75" thickBot="1" x14ac:dyDescent="0.3">
      <c r="B58" s="8" t="s">
        <v>136</v>
      </c>
      <c r="C58" s="95" t="s">
        <v>137</v>
      </c>
      <c r="D58" s="101" t="s">
        <v>8</v>
      </c>
      <c r="E58" s="102" t="s">
        <v>130</v>
      </c>
      <c r="G58" s="27"/>
    </row>
    <row r="59" spans="1:7" ht="15.75" thickBot="1" x14ac:dyDescent="0.3">
      <c r="B59" s="8" t="s">
        <v>142</v>
      </c>
      <c r="C59" s="23"/>
      <c r="D59" s="98"/>
      <c r="E59" s="99"/>
    </row>
    <row r="60" spans="1:7" ht="15.75" thickBot="1" x14ac:dyDescent="0.3">
      <c r="B60" s="8" t="s">
        <v>131</v>
      </c>
      <c r="C60" s="23"/>
      <c r="D60" s="98"/>
      <c r="E60" s="99"/>
    </row>
    <row r="61" spans="1:7" ht="21.75" thickBot="1" x14ac:dyDescent="0.3">
      <c r="B61" s="103" t="s">
        <v>138</v>
      </c>
      <c r="C61" s="99"/>
      <c r="D61" s="28"/>
      <c r="E61" s="99"/>
    </row>
    <row r="62" spans="1:7" x14ac:dyDescent="0.25">
      <c r="B62" s="3" t="s">
        <v>139</v>
      </c>
      <c r="D62" s="29"/>
      <c r="E62" s="29"/>
    </row>
  </sheetData>
  <mergeCells count="10">
    <mergeCell ref="A48:A54"/>
    <mergeCell ref="A27:A47"/>
    <mergeCell ref="A7:A26"/>
    <mergeCell ref="B57:E57"/>
    <mergeCell ref="A2:G2"/>
    <mergeCell ref="A3:A4"/>
    <mergeCell ref="B3:B4"/>
    <mergeCell ref="C3:D3"/>
    <mergeCell ref="E3:F3"/>
    <mergeCell ref="G3:G4"/>
  </mergeCells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851F-623A-4141-A0D3-0F162FE8E281}">
  <dimension ref="A1:G19"/>
  <sheetViews>
    <sheetView workbookViewId="0">
      <selection activeCell="D20" sqref="D20"/>
    </sheetView>
  </sheetViews>
  <sheetFormatPr baseColWidth="10" defaultColWidth="11" defaultRowHeight="15" x14ac:dyDescent="0.25"/>
  <cols>
    <col min="1" max="1" width="24.5703125" style="1" bestFit="1" customWidth="1"/>
    <col min="2" max="2" width="25.42578125" style="3" bestFit="1" customWidth="1"/>
    <col min="3" max="3" width="12.5703125" style="3" bestFit="1" customWidth="1"/>
    <col min="4" max="4" width="10" style="3" bestFit="1" customWidth="1"/>
    <col min="5" max="5" width="16.28515625" style="3" customWidth="1"/>
    <col min="6" max="6" width="12.140625" style="3" bestFit="1" customWidth="1"/>
    <col min="7" max="7" width="31.7109375" style="3" bestFit="1" customWidth="1"/>
    <col min="8" max="16384" width="11" style="3"/>
  </cols>
  <sheetData>
    <row r="1" spans="1:7" ht="15.75" thickBot="1" x14ac:dyDescent="0.3"/>
    <row r="2" spans="1:7" ht="15.75" thickBot="1" x14ac:dyDescent="0.3">
      <c r="A2" s="104" t="s">
        <v>75</v>
      </c>
      <c r="B2" s="105"/>
      <c r="C2" s="105"/>
      <c r="D2" s="105"/>
      <c r="E2" s="105"/>
      <c r="F2" s="105"/>
      <c r="G2" s="133"/>
    </row>
    <row r="3" spans="1:7" s="2" customFormat="1" ht="30" customHeight="1" thickBot="1" x14ac:dyDescent="0.3">
      <c r="A3" s="113" t="s">
        <v>73</v>
      </c>
      <c r="B3" s="119" t="s">
        <v>7</v>
      </c>
      <c r="C3" s="117" t="s">
        <v>143</v>
      </c>
      <c r="D3" s="118"/>
      <c r="E3" s="117" t="s">
        <v>72</v>
      </c>
      <c r="F3" s="118"/>
      <c r="G3" s="113" t="s">
        <v>68</v>
      </c>
    </row>
    <row r="4" spans="1:7" s="4" customFormat="1" ht="15.75" thickBot="1" x14ac:dyDescent="0.3">
      <c r="A4" s="114"/>
      <c r="B4" s="120"/>
      <c r="C4" s="34" t="s">
        <v>2</v>
      </c>
      <c r="D4" s="34" t="s">
        <v>8</v>
      </c>
      <c r="E4" s="34" t="s">
        <v>70</v>
      </c>
      <c r="F4" s="34" t="s">
        <v>71</v>
      </c>
      <c r="G4" s="114"/>
    </row>
    <row r="5" spans="1:7" x14ac:dyDescent="0.25">
      <c r="A5" s="130" t="s">
        <v>83</v>
      </c>
      <c r="B5" s="19" t="s">
        <v>76</v>
      </c>
      <c r="C5" s="13">
        <f>(3.5+1)*247+4*52</f>
        <v>1319.5</v>
      </c>
      <c r="D5" s="13">
        <f t="shared" ref="D5:D10" si="0">4*66</f>
        <v>264</v>
      </c>
      <c r="E5" s="13">
        <v>1357</v>
      </c>
      <c r="F5" s="13">
        <v>0</v>
      </c>
      <c r="G5" s="31"/>
    </row>
    <row r="6" spans="1:7" x14ac:dyDescent="0.25">
      <c r="A6" s="131"/>
      <c r="B6" s="16" t="s">
        <v>77</v>
      </c>
      <c r="C6" s="17">
        <f>(3.5+2)*247+4*52</f>
        <v>1566.5</v>
      </c>
      <c r="D6" s="17">
        <f t="shared" si="0"/>
        <v>264</v>
      </c>
      <c r="E6" s="17">
        <v>1357</v>
      </c>
      <c r="F6" s="17">
        <v>0</v>
      </c>
      <c r="G6" s="32"/>
    </row>
    <row r="7" spans="1:7" x14ac:dyDescent="0.25">
      <c r="A7" s="131"/>
      <c r="B7" s="16" t="s">
        <v>78</v>
      </c>
      <c r="C7" s="17">
        <f t="shared" ref="C7" si="1">(3.5+1)*247+4*52</f>
        <v>1319.5</v>
      </c>
      <c r="D7" s="17">
        <f t="shared" si="0"/>
        <v>264</v>
      </c>
      <c r="E7" s="17">
        <v>1602</v>
      </c>
      <c r="F7" s="17">
        <v>0</v>
      </c>
      <c r="G7" s="32"/>
    </row>
    <row r="8" spans="1:7" x14ac:dyDescent="0.25">
      <c r="A8" s="131"/>
      <c r="B8" s="16" t="s">
        <v>79</v>
      </c>
      <c r="C8" s="17">
        <f>(2.5+1)*247+4*52</f>
        <v>1072.5</v>
      </c>
      <c r="D8" s="17">
        <f t="shared" si="0"/>
        <v>264</v>
      </c>
      <c r="E8" s="17">
        <v>1357</v>
      </c>
      <c r="F8" s="17">
        <v>0</v>
      </c>
      <c r="G8" s="32"/>
    </row>
    <row r="9" spans="1:7" x14ac:dyDescent="0.25">
      <c r="A9" s="131"/>
      <c r="B9" s="16" t="s">
        <v>80</v>
      </c>
      <c r="C9" s="17">
        <f>(2.5+1)*247+4*52</f>
        <v>1072.5</v>
      </c>
      <c r="D9" s="17">
        <f t="shared" si="0"/>
        <v>264</v>
      </c>
      <c r="E9" s="17">
        <v>1357</v>
      </c>
      <c r="F9" s="17">
        <v>0</v>
      </c>
      <c r="G9" s="32"/>
    </row>
    <row r="10" spans="1:7" x14ac:dyDescent="0.25">
      <c r="A10" s="131"/>
      <c r="B10" s="16" t="s">
        <v>81</v>
      </c>
      <c r="C10" s="17">
        <f>(3.5+1)*247+4*52</f>
        <v>1319.5</v>
      </c>
      <c r="D10" s="17">
        <f t="shared" si="0"/>
        <v>264</v>
      </c>
      <c r="E10" s="17">
        <v>1357</v>
      </c>
      <c r="F10" s="17">
        <v>0</v>
      </c>
      <c r="G10" s="32"/>
    </row>
    <row r="11" spans="1:7" ht="15.75" thickBot="1" x14ac:dyDescent="0.3">
      <c r="A11" s="132"/>
      <c r="B11" s="20" t="s">
        <v>82</v>
      </c>
      <c r="C11" s="15">
        <f>(2+1)*247+1*52</f>
        <v>793</v>
      </c>
      <c r="D11" s="15">
        <f>1*66</f>
        <v>66</v>
      </c>
      <c r="E11" s="15">
        <v>1357</v>
      </c>
      <c r="F11" s="15">
        <v>0</v>
      </c>
      <c r="G11" s="33"/>
    </row>
    <row r="12" spans="1:7" ht="15.75" thickBot="1" x14ac:dyDescent="0.3">
      <c r="C12" s="5"/>
      <c r="D12" s="5"/>
      <c r="E12" s="58" t="s">
        <v>125</v>
      </c>
      <c r="F12" s="59">
        <f>SUM(C5:F11)</f>
        <v>19857</v>
      </c>
      <c r="G12" s="27"/>
    </row>
    <row r="13" spans="1:7" ht="15.75" thickBot="1" x14ac:dyDescent="0.3">
      <c r="C13" s="5"/>
      <c r="D13" s="5"/>
      <c r="E13" s="90"/>
      <c r="F13" s="90"/>
      <c r="G13" s="27"/>
    </row>
    <row r="14" spans="1:7" ht="15.75" thickBot="1" x14ac:dyDescent="0.3">
      <c r="B14" s="121" t="s">
        <v>141</v>
      </c>
      <c r="C14" s="122"/>
      <c r="D14" s="122"/>
      <c r="E14" s="123"/>
    </row>
    <row r="15" spans="1:7" ht="15.75" thickBot="1" x14ac:dyDescent="0.3">
      <c r="B15" s="8" t="s">
        <v>136</v>
      </c>
      <c r="C15" s="95" t="s">
        <v>137</v>
      </c>
      <c r="D15" s="101" t="s">
        <v>8</v>
      </c>
      <c r="E15" s="102" t="s">
        <v>130</v>
      </c>
    </row>
    <row r="16" spans="1:7" ht="15.75" thickBot="1" x14ac:dyDescent="0.3">
      <c r="B16" s="8" t="s">
        <v>142</v>
      </c>
      <c r="C16" s="23"/>
      <c r="D16" s="98"/>
      <c r="E16" s="99"/>
    </row>
    <row r="17" spans="2:5" ht="15.75" thickBot="1" x14ac:dyDescent="0.3">
      <c r="B17" s="8" t="s">
        <v>131</v>
      </c>
      <c r="C17" s="23"/>
      <c r="D17" s="98"/>
      <c r="E17" s="99"/>
    </row>
    <row r="18" spans="2:5" ht="21.75" thickBot="1" x14ac:dyDescent="0.3">
      <c r="B18" s="103" t="s">
        <v>138</v>
      </c>
      <c r="C18" s="99"/>
      <c r="D18" s="28"/>
      <c r="E18" s="99"/>
    </row>
    <row r="19" spans="2:5" x14ac:dyDescent="0.25">
      <c r="B19" s="3" t="s">
        <v>139</v>
      </c>
      <c r="D19" s="29"/>
      <c r="E19" s="29"/>
    </row>
  </sheetData>
  <mergeCells count="8">
    <mergeCell ref="A5:A11"/>
    <mergeCell ref="B14:E14"/>
    <mergeCell ref="A2:G2"/>
    <mergeCell ref="A3:A4"/>
    <mergeCell ref="B3:B4"/>
    <mergeCell ref="C3:D3"/>
    <mergeCell ref="E3:F3"/>
    <mergeCell ref="G3:G4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D591-C47E-4302-8C7F-1672F9FDCD82}">
  <dimension ref="A1:G17"/>
  <sheetViews>
    <sheetView workbookViewId="0">
      <selection activeCell="E20" sqref="E20"/>
    </sheetView>
  </sheetViews>
  <sheetFormatPr baseColWidth="10" defaultColWidth="11" defaultRowHeight="15" x14ac:dyDescent="0.25"/>
  <cols>
    <col min="1" max="1" width="24.5703125" style="1" bestFit="1" customWidth="1"/>
    <col min="2" max="2" width="29.7109375" style="3" bestFit="1" customWidth="1"/>
    <col min="3" max="3" width="12.5703125" style="3" bestFit="1" customWidth="1"/>
    <col min="4" max="4" width="11.140625" style="3" bestFit="1" customWidth="1"/>
    <col min="5" max="5" width="16.28515625" style="3" customWidth="1"/>
    <col min="6" max="6" width="12.85546875" style="3" bestFit="1" customWidth="1"/>
    <col min="7" max="7" width="31.7109375" style="3" bestFit="1" customWidth="1"/>
    <col min="8" max="8" width="12.7109375" style="3" bestFit="1" customWidth="1"/>
    <col min="9" max="16384" width="11" style="3"/>
  </cols>
  <sheetData>
    <row r="1" spans="1:7" ht="15.75" thickBot="1" x14ac:dyDescent="0.3"/>
    <row r="2" spans="1:7" ht="15.75" thickBot="1" x14ac:dyDescent="0.3">
      <c r="A2" s="104" t="s">
        <v>128</v>
      </c>
      <c r="B2" s="105"/>
      <c r="C2" s="105"/>
      <c r="D2" s="105"/>
      <c r="E2" s="105"/>
      <c r="F2" s="105"/>
      <c r="G2" s="105"/>
    </row>
    <row r="3" spans="1:7" s="2" customFormat="1" ht="30" customHeight="1" thickBot="1" x14ac:dyDescent="0.3">
      <c r="A3" s="113" t="s">
        <v>73</v>
      </c>
      <c r="B3" s="119" t="s">
        <v>7</v>
      </c>
      <c r="C3" s="117" t="s">
        <v>143</v>
      </c>
      <c r="D3" s="118"/>
      <c r="E3" s="117" t="s">
        <v>72</v>
      </c>
      <c r="F3" s="118"/>
      <c r="G3" s="113" t="s">
        <v>68</v>
      </c>
    </row>
    <row r="4" spans="1:7" s="4" customFormat="1" ht="15.75" thickBot="1" x14ac:dyDescent="0.3">
      <c r="A4" s="114"/>
      <c r="B4" s="120"/>
      <c r="C4" s="34" t="s">
        <v>2</v>
      </c>
      <c r="D4" s="34" t="s">
        <v>8</v>
      </c>
      <c r="E4" s="34" t="s">
        <v>70</v>
      </c>
      <c r="F4" s="34" t="s">
        <v>71</v>
      </c>
      <c r="G4" s="114"/>
    </row>
    <row r="5" spans="1:7" x14ac:dyDescent="0.25">
      <c r="A5" s="130" t="s">
        <v>127</v>
      </c>
      <c r="B5" s="12" t="s">
        <v>126</v>
      </c>
      <c r="C5" s="13">
        <v>2811.25</v>
      </c>
      <c r="D5" s="13">
        <v>0</v>
      </c>
      <c r="E5" s="13">
        <f>57+46</f>
        <v>103</v>
      </c>
      <c r="F5" s="13">
        <v>0</v>
      </c>
      <c r="G5" s="31"/>
    </row>
    <row r="6" spans="1:7" x14ac:dyDescent="0.25">
      <c r="A6" s="131"/>
      <c r="B6" s="61" t="s">
        <v>135</v>
      </c>
      <c r="C6" s="17">
        <f>3.25*247</f>
        <v>802.75</v>
      </c>
      <c r="D6" s="17">
        <v>0</v>
      </c>
      <c r="E6" s="17">
        <v>130</v>
      </c>
      <c r="F6" s="17">
        <v>0</v>
      </c>
      <c r="G6" s="32"/>
    </row>
    <row r="7" spans="1:7" x14ac:dyDescent="0.25">
      <c r="A7" s="131"/>
      <c r="B7" s="77" t="s">
        <v>129</v>
      </c>
      <c r="C7" s="78">
        <v>156</v>
      </c>
      <c r="D7" s="78">
        <v>0</v>
      </c>
      <c r="E7" s="78">
        <v>0</v>
      </c>
      <c r="F7" s="78">
        <v>0</v>
      </c>
      <c r="G7" s="87"/>
    </row>
    <row r="8" spans="1:7" ht="15.75" thickBot="1" x14ac:dyDescent="0.3">
      <c r="A8" s="132"/>
      <c r="B8" s="14" t="s">
        <v>134</v>
      </c>
      <c r="C8" s="15">
        <v>0</v>
      </c>
      <c r="D8" s="15">
        <v>0</v>
      </c>
      <c r="E8" s="15">
        <v>10</v>
      </c>
      <c r="F8" s="15">
        <v>0</v>
      </c>
      <c r="G8" s="33"/>
    </row>
    <row r="9" spans="1:7" ht="15.75" thickBot="1" x14ac:dyDescent="0.3">
      <c r="C9" s="5"/>
      <c r="D9" s="5"/>
      <c r="E9" s="60" t="s">
        <v>125</v>
      </c>
      <c r="F9" s="30">
        <f>SUM(C5:F8)</f>
        <v>4013</v>
      </c>
      <c r="G9" s="27"/>
    </row>
    <row r="10" spans="1:7" x14ac:dyDescent="0.25">
      <c r="B10" s="1"/>
      <c r="C10" s="1"/>
      <c r="E10" s="29"/>
      <c r="G10" s="27"/>
    </row>
    <row r="11" spans="1:7" ht="15.75" thickBot="1" x14ac:dyDescent="0.3"/>
    <row r="12" spans="1:7" ht="15.75" thickBot="1" x14ac:dyDescent="0.3">
      <c r="B12" s="121" t="s">
        <v>141</v>
      </c>
      <c r="C12" s="122"/>
      <c r="D12" s="122"/>
      <c r="E12" s="123"/>
    </row>
    <row r="13" spans="1:7" ht="15.75" thickBot="1" x14ac:dyDescent="0.3">
      <c r="B13" s="8" t="s">
        <v>136</v>
      </c>
      <c r="C13" s="95" t="s">
        <v>137</v>
      </c>
      <c r="D13" s="101" t="s">
        <v>8</v>
      </c>
      <c r="E13" s="102" t="s">
        <v>130</v>
      </c>
    </row>
    <row r="14" spans="1:7" ht="15.75" thickBot="1" x14ac:dyDescent="0.3">
      <c r="B14" s="8" t="s">
        <v>142</v>
      </c>
      <c r="C14" s="23"/>
      <c r="D14" s="98"/>
      <c r="E14" s="99"/>
    </row>
    <row r="15" spans="1:7" ht="15.75" thickBot="1" x14ac:dyDescent="0.3">
      <c r="B15" s="8" t="s">
        <v>131</v>
      </c>
      <c r="C15" s="23"/>
      <c r="D15" s="98"/>
      <c r="E15" s="99"/>
    </row>
    <row r="16" spans="1:7" ht="21.75" thickBot="1" x14ac:dyDescent="0.3">
      <c r="B16" s="103" t="s">
        <v>138</v>
      </c>
      <c r="C16" s="99"/>
      <c r="D16" s="28"/>
      <c r="E16" s="99"/>
    </row>
    <row r="17" spans="2:5" x14ac:dyDescent="0.25">
      <c r="B17" s="3" t="s">
        <v>139</v>
      </c>
      <c r="D17" s="29"/>
      <c r="E17" s="29"/>
    </row>
  </sheetData>
  <mergeCells count="8">
    <mergeCell ref="A5:A8"/>
    <mergeCell ref="B12:E12"/>
    <mergeCell ref="A2:G2"/>
    <mergeCell ref="A3:A4"/>
    <mergeCell ref="B3:B4"/>
    <mergeCell ref="C3:D3"/>
    <mergeCell ref="E3:F3"/>
    <mergeCell ref="G3:G4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>ETS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Goizalde Roldán</dc:creator>
  <cp:lastModifiedBy>Garbiñe Sáez Molinuevo</cp:lastModifiedBy>
  <cp:lastPrinted>2023-09-28T09:22:17Z</cp:lastPrinted>
  <dcterms:created xsi:type="dcterms:W3CDTF">2023-09-11T11:57:45Z</dcterms:created>
  <dcterms:modified xsi:type="dcterms:W3CDTF">2023-10-25T06:14:38Z</dcterms:modified>
</cp:coreProperties>
</file>