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R:\Parke\Economico financiero y de organizacion\Departamento\Contratacion\1. Licitaciones y Peticiones de ofertas\2022\0. EN ELABORACION\PTA2022010_Suministro Gas GV\V2\"/>
    </mc:Choice>
  </mc:AlternateContent>
  <xr:revisionPtr revIDLastSave="0" documentId="13_ncr:1_{A69C4A8D-EB34-448E-A9A7-08081A4D00BC}" xr6:coauthVersionLast="47" xr6:coauthVersionMax="47" xr10:uidLastSave="{00000000-0000-0000-0000-000000000000}"/>
  <bookViews>
    <workbookView xWindow="31845" yWindow="3390" windowWidth="20910" windowHeight="11835" xr2:uid="{00000000-000D-0000-FFFF-FFFF00000000}"/>
  </bookViews>
  <sheets>
    <sheet name="ANEXO I" sheetId="2" r:id="rId1"/>
    <sheet name="PEAJES" sheetId="3" r:id="rId2"/>
    <sheet name="RESUMEN" sheetId="4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2" l="1"/>
  <c r="H10" i="2"/>
  <c r="I10" i="2"/>
  <c r="K10" i="2"/>
  <c r="K2" i="2"/>
  <c r="K3" i="2"/>
  <c r="K4" i="2"/>
  <c r="K5" i="2"/>
  <c r="K6" i="2"/>
  <c r="K7" i="2"/>
  <c r="K8" i="2"/>
  <c r="K9" i="2"/>
  <c r="K11" i="2"/>
  <c r="K12" i="2"/>
  <c r="K13" i="2"/>
  <c r="K14" i="2"/>
  <c r="I2" i="2"/>
  <c r="I3" i="2"/>
  <c r="I4" i="2"/>
  <c r="I5" i="2"/>
  <c r="I6" i="2"/>
  <c r="I7" i="2"/>
  <c r="I8" i="2"/>
  <c r="I9" i="2"/>
  <c r="I11" i="2"/>
  <c r="I12" i="2"/>
  <c r="I13" i="2"/>
  <c r="I14" i="2"/>
  <c r="H2" i="2"/>
  <c r="H3" i="2"/>
  <c r="H4" i="2"/>
  <c r="H5" i="2"/>
  <c r="H6" i="2"/>
  <c r="H7" i="2"/>
  <c r="H8" i="2"/>
  <c r="H9" i="2"/>
  <c r="H11" i="2"/>
  <c r="H12" i="2"/>
  <c r="H13" i="2"/>
  <c r="H14" i="2"/>
  <c r="G2" i="2"/>
  <c r="G3" i="2"/>
  <c r="G4" i="2"/>
  <c r="J4" i="2" s="1"/>
  <c r="L4" i="2" s="1"/>
  <c r="G5" i="2"/>
  <c r="G6" i="2"/>
  <c r="G7" i="2"/>
  <c r="G8" i="2"/>
  <c r="G9" i="2"/>
  <c r="G11" i="2"/>
  <c r="G12" i="2"/>
  <c r="G13" i="2"/>
  <c r="J13" i="2" s="1"/>
  <c r="L13" i="2" s="1"/>
  <c r="G14" i="2"/>
  <c r="J9" i="2" l="1"/>
  <c r="L9" i="2" s="1"/>
  <c r="J10" i="2"/>
  <c r="L10" i="2"/>
  <c r="M10" i="2" s="1"/>
  <c r="J14" i="2"/>
  <c r="L14" i="2" s="1"/>
  <c r="J5" i="2"/>
  <c r="L5" i="2" s="1"/>
  <c r="J12" i="2"/>
  <c r="L12" i="2" s="1"/>
  <c r="J3" i="2"/>
  <c r="L3" i="2" s="1"/>
  <c r="J11" i="2"/>
  <c r="L11" i="2" s="1"/>
  <c r="J2" i="2"/>
  <c r="L2" i="2" s="1"/>
  <c r="J8" i="2"/>
  <c r="L8" i="2" s="1"/>
  <c r="J7" i="2"/>
  <c r="L7" i="2" s="1"/>
  <c r="J6" i="2"/>
  <c r="L6" i="2" s="1"/>
  <c r="M6" i="2" s="1"/>
  <c r="M4" i="2"/>
  <c r="M12" i="2"/>
  <c r="M3" i="2"/>
  <c r="M8" i="2"/>
  <c r="M13" i="2"/>
  <c r="M14" i="2"/>
  <c r="J15" i="2"/>
  <c r="C12" i="3"/>
  <c r="C11" i="3"/>
  <c r="M7" i="2" l="1"/>
  <c r="M9" i="2"/>
  <c r="M5" i="2"/>
  <c r="M2" i="2"/>
  <c r="M15" i="2" s="1"/>
  <c r="M11" i="2"/>
</calcChain>
</file>

<file path=xl/sharedStrings.xml><?xml version="1.0" encoding="utf-8"?>
<sst xmlns="http://schemas.openxmlformats.org/spreadsheetml/2006/main" count="117" uniqueCount="63">
  <si>
    <t>CUPS</t>
  </si>
  <si>
    <t>TARIFA</t>
  </si>
  <si>
    <t>CONSUMO (KWH)</t>
  </si>
  <si>
    <t>ES0210000000001274MW</t>
  </si>
  <si>
    <t>RL4</t>
  </si>
  <si>
    <t>ES0210000000001271GE</t>
  </si>
  <si>
    <t>ES0229100010801837JB</t>
  </si>
  <si>
    <t>105 - PCTB</t>
  </si>
  <si>
    <t>101 - PCTB</t>
  </si>
  <si>
    <t>612 - PCTB</t>
  </si>
  <si>
    <t>Central - PTA</t>
  </si>
  <si>
    <t>ES0217901000000983KC</t>
  </si>
  <si>
    <t>RLTB5</t>
  </si>
  <si>
    <t>E5 - PTA</t>
  </si>
  <si>
    <t>ES0217901000003344DN</t>
  </si>
  <si>
    <t>E6-7 - PTA</t>
  </si>
  <si>
    <t>ES0217901000018253JV</t>
  </si>
  <si>
    <t>ES0229120010508675VQ</t>
  </si>
  <si>
    <t>E8 - PTA</t>
  </si>
  <si>
    <t>E9 - PTA</t>
  </si>
  <si>
    <t>ES0230901000025869AM</t>
  </si>
  <si>
    <t>ES0213000000255011JL</t>
  </si>
  <si>
    <t>ES0213000000255021ZY</t>
  </si>
  <si>
    <t>ES0213000000365766EY</t>
  </si>
  <si>
    <t>ES0213000000376508YF</t>
  </si>
  <si>
    <t>B9 - PCTG</t>
  </si>
  <si>
    <t>B8 - PCTG</t>
  </si>
  <si>
    <t>C - PCTG</t>
  </si>
  <si>
    <t>B2 - PCTG</t>
  </si>
  <si>
    <t>RL1</t>
  </si>
  <si>
    <t>RL2</t>
  </si>
  <si>
    <t>RL3</t>
  </si>
  <si>
    <t>RLTA5</t>
  </si>
  <si>
    <t>RLTB6</t>
  </si>
  <si>
    <t>RLTA6</t>
  </si>
  <si>
    <t>RLTB7</t>
  </si>
  <si>
    <t>RLTA7</t>
  </si>
  <si>
    <t>BIZKAIA</t>
  </si>
  <si>
    <t>ARABA</t>
  </si>
  <si>
    <t>GIPUZKOA</t>
  </si>
  <si>
    <t>PEAJE</t>
  </si>
  <si>
    <t>TF (€/mes)</t>
  </si>
  <si>
    <t>TV (c€/kWh)</t>
  </si>
  <si>
    <t>DIRECCIÓN DE ENVÍO DE FACTURAS</t>
  </si>
  <si>
    <t>EDIFICIO - PARKE</t>
  </si>
  <si>
    <t>TERRITORIO</t>
  </si>
  <si>
    <t>ENERGÍA 2022 (c€/kWh)</t>
  </si>
  <si>
    <t>Energía (c€/kWh)</t>
  </si>
  <si>
    <t>Gasto Anual (€). Sin impuestos</t>
  </si>
  <si>
    <t>IH (€)</t>
  </si>
  <si>
    <t>IVA (€)</t>
  </si>
  <si>
    <t>Total (€)</t>
  </si>
  <si>
    <t>Total general</t>
  </si>
  <si>
    <t>Suma de CONSUMO (KWH)</t>
  </si>
  <si>
    <t>Suma de Total (€)</t>
  </si>
  <si>
    <t>Territorio y Tarifa</t>
  </si>
  <si>
    <t>Cuenta de CUPS</t>
  </si>
  <si>
    <t>BIC ARABA</t>
  </si>
  <si>
    <t>ES0217901000001011TW</t>
  </si>
  <si>
    <t>ef.bizkaia@parke.eus</t>
  </si>
  <si>
    <t>ef.araba@parke.eus</t>
  </si>
  <si>
    <t>ef.gipuzkoa@parke.eus</t>
  </si>
  <si>
    <t>bicaraba@bicaraba.eus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</si>
</sst>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color theme="1"/>
      <name val="Arial"/>
      <family val="2"/>
    </font>
    <font>
      <b/>
      <sz val="12"/>
      <color theme="1"/>
      <name val="Calibri Light"/>
      <scheme val="major"/>
    </font>
    <font>
      <sz val="12"/>
      <color theme="1"/>
      <name val="Calibri Light"/>
      <scheme val="maj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3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vertical="center" wrapText="1"/>
    </xf>
    <xf numFmtId="3" fontId="1" fillId="0" borderId="6" xfId="0" applyNumberFormat="1" applyFont="1" applyBorder="1"/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4" fontId="0" fillId="0" borderId="0" xfId="0" applyNumberFormat="1"/>
    <xf numFmtId="0" fontId="1" fillId="0" borderId="1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3" fontId="1" fillId="0" borderId="9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3" fontId="5" fillId="0" borderId="6" xfId="0" applyNumberFormat="1" applyFont="1" applyBorder="1"/>
    <xf numFmtId="0" fontId="6" fillId="0" borderId="0" xfId="1"/>
    <xf numFmtId="0" fontId="3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27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3" formatCode="#,##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3" formatCode="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[ANEXO I PARQUESv2.xlsx]RESUMEN!TablaDinámica2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RESUMEN!$B$14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RESUMEN!$A$15:$A$18</c:f>
              <c:strCache>
                <c:ptCount val="3"/>
                <c:pt idx="0">
                  <c:v>RL3</c:v>
                </c:pt>
                <c:pt idx="1">
                  <c:v>RL4</c:v>
                </c:pt>
                <c:pt idx="2">
                  <c:v>RLTB5</c:v>
                </c:pt>
              </c:strCache>
            </c:strRef>
          </c:cat>
          <c:val>
            <c:numRef>
              <c:f>RESUMEN!$B$15:$B$18</c:f>
              <c:numCache>
                <c:formatCode>#,##0</c:formatCode>
                <c:ptCount val="3"/>
                <c:pt idx="0">
                  <c:v>58275</c:v>
                </c:pt>
                <c:pt idx="1">
                  <c:v>1254312</c:v>
                </c:pt>
                <c:pt idx="2">
                  <c:v>2209626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69-4606-A5E9-F1CD2BC33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856152"/>
        <c:axId val="502857464"/>
      </c:lineChart>
      <c:catAx>
        <c:axId val="50285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02857464"/>
        <c:crosses val="autoZero"/>
        <c:auto val="1"/>
        <c:lblAlgn val="ctr"/>
        <c:lblOffset val="100"/>
        <c:noMultiLvlLbl val="0"/>
      </c:catAx>
      <c:valAx>
        <c:axId val="502857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02856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357187</xdr:colOff>
      <xdr:row>2</xdr:row>
      <xdr:rowOff>19050</xdr:rowOff>
    </xdr:from>
    <xdr:to>
      <xdr:col>9</xdr:col>
      <xdr:colOff>357187</xdr:colOff>
      <xdr:row>16</xdr:row>
      <xdr:rowOff>95250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n Arrate Elorriaga" refreshedDate="44853.474311226855" createdVersion="6" refreshedVersion="8" minRefreshableVersion="3" recordCount="13" xr:uid="{00000000-000A-0000-FFFF-FFFF09000000}">
  <cacheSource type="worksheet">
    <worksheetSource name="Tabla1"/>
  </cacheSource>
  <cacheFields count="16">
    <cacheField name="EDIFICIO - PARKE" numFmtId="0">
      <sharedItems/>
    </cacheField>
    <cacheField name="TERRITORIO" numFmtId="0">
      <sharedItems count="3">
        <s v="BIZKAIA"/>
        <s v="ARABA"/>
        <s v="GIPUZKOA"/>
      </sharedItems>
    </cacheField>
    <cacheField name="CUPS" numFmtId="0">
      <sharedItems/>
    </cacheField>
    <cacheField name="TARIFA" numFmtId="0">
      <sharedItems count="3">
        <s v="RL4"/>
        <s v="RL3"/>
        <s v="RLTB5"/>
      </sharedItems>
    </cacheField>
    <cacheField name="CONSUMO (KWH)" numFmtId="3">
      <sharedItems containsSemiMixedTypes="0" containsString="0" containsNumber="1" containsInteger="1" minValue="52570" maxValue="610527"/>
    </cacheField>
    <cacheField name="OFICINA CONTABLE" numFmtId="0">
      <sharedItems containsNonDate="0" containsString="0" containsBlank="1"/>
    </cacheField>
    <cacheField name="UNIDAD TRAMITADORA" numFmtId="0">
      <sharedItems containsNonDate="0" containsString="0" containsBlank="1"/>
    </cacheField>
    <cacheField name="ÓRGANOS GESTOR" numFmtId="0">
      <sharedItems containsNonDate="0" containsString="0" containsBlank="1"/>
    </cacheField>
    <cacheField name="DIRECCIÓN DE ENVÍO DE FACTURAS" numFmtId="0">
      <sharedItems/>
    </cacheField>
    <cacheField name="TF (€/mes)" numFmtId="0">
      <sharedItems containsSemiMixedTypes="0" containsString="0" containsNumber="1" minValue="18.22" maxValue="115.84"/>
    </cacheField>
    <cacheField name="TV (c€/kWh)" numFmtId="0">
      <sharedItems containsSemiMixedTypes="0" containsString="0" containsNumber="1" minValue="1.0946" maxValue="1.2387999999999999"/>
    </cacheField>
    <cacheField name="Energía (c€/kWh)" numFmtId="0">
      <sharedItems containsSemiMixedTypes="0" containsString="0" containsNumber="1" containsInteger="1" minValue="10" maxValue="10"/>
    </cacheField>
    <cacheField name="Gasto Anual (€). Sin impuestos" numFmtId="4">
      <sharedItems containsSemiMixedTypes="0" containsString="0" containsNumber="1" minValue="6577.7171600000001" maxValue="69626.851209"/>
    </cacheField>
    <cacheField name="IH (€)" numFmtId="4">
      <sharedItems containsSemiMixedTypes="0" containsString="0" containsNumber="1" minValue="123.0138" maxValue="1428.63318"/>
    </cacheField>
    <cacheField name="IVA (€)" numFmtId="4">
      <sharedItems containsSemiMixedTypes="0" containsString="0" containsNumber="1" minValue="1407.1535016" maxValue="14921.651721690001"/>
    </cacheField>
    <cacheField name="Total (€)" numFmtId="4">
      <sharedItems containsSemiMixedTypes="0" containsString="0" containsNumber="1" minValue="8107.8844615999997" maxValue="85977.1361106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s v="105 - PCTB"/>
    <x v="0"/>
    <s v="ES0210000000001274MW"/>
    <x v="0"/>
    <n v="248016"/>
    <m/>
    <m/>
    <m/>
    <s v="Parque Tecnológico-Teknologi Elkartegia, S.A. Ibaizabal bidea, Edificio 101 - 48170 Zamudio (Bizkaia)"/>
    <n v="55.79"/>
    <n v="1.2387999999999999"/>
    <n v="10"/>
    <n v="28543.502207999998"/>
    <n v="580.35744"/>
    <n v="6116.0105260799992"/>
    <n v="35239.870174079995"/>
  </r>
  <r>
    <s v="101 - PCTB"/>
    <x v="0"/>
    <s v="ES0210000000001271GE"/>
    <x v="0"/>
    <n v="112193"/>
    <m/>
    <m/>
    <m/>
    <s v="Parque Tecnológico-Teknologi Elkartegia, S.A. Ibaizabal bidea, Edificio 101 - 48170 Zamudio (Bizkaia)"/>
    <n v="55.79"/>
    <n v="1.2387999999999999"/>
    <n v="10"/>
    <n v="13278.626883999998"/>
    <n v="262.53162000000003"/>
    <n v="2843.6432858399994"/>
    <n v="16384.801789839996"/>
  </r>
  <r>
    <s v="612 - PCTB"/>
    <x v="0"/>
    <s v="ES0229100010801837JB"/>
    <x v="1"/>
    <n v="58275"/>
    <m/>
    <m/>
    <m/>
    <s v="Parque Tecnológico-Teknologi Elkartegia, S.A. Ibaizabal bidea, Edificio 101 - 48170 Zamudio (Bizkaia)"/>
    <n v="18.22"/>
    <n v="1.0946"/>
    <n v="10"/>
    <n v="6684.0181500000008"/>
    <n v="136.36350000000002"/>
    <n v="1432.2801465000002"/>
    <n v="8252.6617965000005"/>
  </r>
  <r>
    <s v="Central - PTA"/>
    <x v="1"/>
    <s v="ES0217901000000983KC"/>
    <x v="2"/>
    <n v="610527"/>
    <m/>
    <m/>
    <m/>
    <s v="Parque Tecnológico de Álava, S.A. Hermanos Lumiere, 11 - 01510 Miñano (Álava)"/>
    <n v="115.84"/>
    <n v="1.1767000000000001"/>
    <n v="10"/>
    <n v="69626.851209"/>
    <n v="1428.63318"/>
    <n v="14921.651721690001"/>
    <n v="85977.13611069"/>
  </r>
  <r>
    <s v="E5 - PTA"/>
    <x v="1"/>
    <s v="ES0217901000003344DN"/>
    <x v="0"/>
    <n v="52570"/>
    <m/>
    <m/>
    <m/>
    <s v="Parque Tecnológico de Álava, S.A. Hermanos Lumiere, 11 - 01510 Miñano (Álava)"/>
    <n v="55.79"/>
    <n v="1.2387999999999999"/>
    <n v="10"/>
    <n v="6577.7171600000001"/>
    <n v="123.0138"/>
    <n v="1407.1535016"/>
    <n v="8107.8844615999997"/>
  </r>
  <r>
    <s v="E6-7 - PTA"/>
    <x v="1"/>
    <s v="ES0217901000018253JV"/>
    <x v="2"/>
    <n v="306926"/>
    <m/>
    <m/>
    <m/>
    <s v="Parque Tecnológico de Álava, S.A. Hermanos Lumiere, 11 - 01510 Miñano (Álava)"/>
    <n v="115.84"/>
    <n v="1.1767000000000001"/>
    <n v="10"/>
    <n v="35694.278242"/>
    <n v="718.20684000000006"/>
    <n v="7646.6218672199993"/>
    <n v="44059.106949219997"/>
  </r>
  <r>
    <s v="E8 - PTA"/>
    <x v="1"/>
    <s v="ES0229120010508675VQ"/>
    <x v="0"/>
    <n v="289270"/>
    <m/>
    <m/>
    <m/>
    <s v="Parque Tecnológico de Álava, S.A. Hermanos Lumiere, 11 - 01510 Miñano (Álava)"/>
    <n v="55.79"/>
    <n v="1.2387999999999999"/>
    <n v="10"/>
    <n v="33179.956760000001"/>
    <n v="676.89179999999999"/>
    <n v="7109.9381975999995"/>
    <n v="40966.786757599999"/>
  </r>
  <r>
    <s v="E9 - PTA"/>
    <x v="1"/>
    <s v="ES0230901000025869AM"/>
    <x v="2"/>
    <n v="407557"/>
    <m/>
    <m/>
    <m/>
    <s v="Parque Tecnológico de Álava, S.A. Hermanos Lumiere, 11 - 01510 Miñano (Álava)"/>
    <n v="115.84"/>
    <n v="1.1767000000000001"/>
    <n v="10"/>
    <n v="46941.503219000006"/>
    <n v="953.68338000000006"/>
    <n v="10057.989185790002"/>
    <n v="57953.175784790008"/>
  </r>
  <r>
    <s v="BIC ARABA"/>
    <x v="1"/>
    <s v="ES0217901000001011TW"/>
    <x v="0"/>
    <n v="171911"/>
    <m/>
    <m/>
    <m/>
    <s v="Arabako Eraberrikuntza-Industrialdea, S.A."/>
    <n v="55.79"/>
    <n v="1.2387999999999999"/>
    <n v="10"/>
    <n v="19990.213467999998"/>
    <n v="402.27174000000002"/>
    <n v="4282.4218936799998"/>
    <n v="24674.907101679997"/>
  </r>
  <r>
    <s v="B9 - PCTG"/>
    <x v="2"/>
    <s v="ES0213000000255011JL"/>
    <x v="2"/>
    <n v="357533"/>
    <m/>
    <m/>
    <m/>
    <s v="Parque Científico y Tecnológico de Gipuzkoa, S.A. Paseo Mikeletegi, 53 - 20009 Donostia-San Sebastián (Gipuzkoa)"/>
    <n v="115.84"/>
    <n v="1.1767000000000001"/>
    <n v="10"/>
    <n v="41350.470811000007"/>
    <n v="836.62722000000008"/>
    <n v="8859.290586510002"/>
    <n v="51046.388617510012"/>
  </r>
  <r>
    <s v="B8 - PCTG"/>
    <x v="2"/>
    <s v="ES0213000000255021ZY"/>
    <x v="2"/>
    <n v="527083"/>
    <m/>
    <m/>
    <m/>
    <s v="Parque Científico y Tecnológico de Gipuzkoa, S.A. Paseo Mikeletegi, 53 - 20009 Donostia-San Sebastián (Gipuzkoa)"/>
    <n v="115.84"/>
    <n v="1.1767000000000001"/>
    <n v="10"/>
    <n v="60300.565661000008"/>
    <n v="1233.3742199999999"/>
    <n v="12922.127375010001"/>
    <n v="74456.067256010007"/>
  </r>
  <r>
    <s v="C - PCTG"/>
    <x v="2"/>
    <s v="ES0213000000365766EY"/>
    <x v="0"/>
    <n v="213961"/>
    <m/>
    <m/>
    <m/>
    <s v="Parque Científico y Tecnológico de Gipuzkoa, S.A. Paseo Mikeletegi, 53 - 20009 Donostia-San Sebastián (Gipuzkoa)"/>
    <n v="55.79"/>
    <n v="1.2387999999999999"/>
    <n v="10"/>
    <n v="24716.128867999996"/>
    <n v="500.66874000000001"/>
    <n v="5295.5274976799992"/>
    <n v="30512.325105679996"/>
  </r>
  <r>
    <s v="B2 - PCTG"/>
    <x v="2"/>
    <s v="ES0213000000376508YF"/>
    <x v="0"/>
    <n v="166391"/>
    <m/>
    <m/>
    <m/>
    <s v="Parque Científico y Tecnológico de Gipuzkoa, S.A. Paseo Mikeletegi, 53 - 20009 Donostia-San Sebastián (Gipuzkoa)"/>
    <n v="55.79"/>
    <n v="1.2387999999999999"/>
    <n v="10"/>
    <n v="19369.831707999998"/>
    <n v="389.35494"/>
    <n v="4149.4291960799992"/>
    <n v="23908.61584407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aDinámica3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rowHeaderCaption="TARIFA">
  <location ref="A21:B25" firstHeaderRow="1" firstDataRow="1" firstDataCol="1"/>
  <pivotFields count="16">
    <pivotField showAll="0"/>
    <pivotField showAll="0"/>
    <pivotField dataField="1" showAll="0"/>
    <pivotField axis="axisRow" showAll="0">
      <items count="4">
        <item x="1"/>
        <item x="0"/>
        <item x="2"/>
        <item t="default"/>
      </items>
    </pivotField>
    <pivotField numFmtId="3" showAll="0"/>
    <pivotField showAll="0"/>
    <pivotField showAll="0"/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numFmtId="4" showAll="0"/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uenta de CUPS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a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12" rowHeaderCaption="TARIFA">
  <location ref="A14:B18" firstHeaderRow="1" firstDataRow="1" firstDataCol="1"/>
  <pivotFields count="16"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dataField="1" numFmtId="3" showAll="0"/>
    <pivotField showAll="0"/>
    <pivotField showAll="0"/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numFmtId="4" showAll="0"/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a de CONSUMO (KWH)" fld="4" baseField="0" baseItem="0" numFmtId="3"/>
  </dataFields>
  <formats count="1">
    <format dxfId="9">
      <pivotArea outline="0" collapsedLevelsAreSubtotals="1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rowHeaderCaption="Territorio y Tarifa">
  <location ref="A1:C11" firstHeaderRow="0" firstDataRow="1" firstDataCol="1"/>
  <pivotFields count="16">
    <pivotField showAll="0"/>
    <pivotField axis="axisRow" showAll="0">
      <items count="4">
        <item x="1"/>
        <item x="0"/>
        <item x="2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dataField="1" numFmtId="3" showAll="0"/>
    <pivotField showAll="0"/>
    <pivotField showAll="0"/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dataField="1" numFmtId="4" showAll="0"/>
  </pivotFields>
  <rowFields count="2">
    <field x="1"/>
    <field x="3"/>
  </rowFields>
  <rowItems count="10">
    <i>
      <x/>
    </i>
    <i r="1">
      <x v="1"/>
    </i>
    <i r="1">
      <x v="2"/>
    </i>
    <i>
      <x v="1"/>
    </i>
    <i r="1">
      <x/>
    </i>
    <i r="1">
      <x v="1"/>
    </i>
    <i>
      <x v="2"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NSUMO (KWH)" fld="4" baseField="0" baseItem="0" numFmtId="3"/>
    <dataField name="Suma de Total (€)" fld="15" baseField="0" baseItem="0"/>
  </dataFields>
  <formats count="2">
    <format dxfId="11">
      <pivotArea outline="0" collapsedLevelsAreSubtotals="1" fieldPosition="0"/>
    </format>
    <format dxfId="1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M15" totalsRowCount="1" headerRowDxfId="26" headerRowBorderDxfId="25" tableBorderDxfId="24">
  <autoFilter ref="A1:M14" xr:uid="{00000000-0009-0000-0100-000001000000}"/>
  <tableColumns count="13">
    <tableColumn id="1" xr3:uid="{00000000-0010-0000-0000-000001000000}" name="EDIFICIO - PARKE" dataDxfId="23" totalsRowDxfId="8"/>
    <tableColumn id="2" xr3:uid="{00000000-0010-0000-0000-000002000000}" name="TERRITORIO" dataDxfId="22" totalsRowDxfId="7"/>
    <tableColumn id="3" xr3:uid="{00000000-0010-0000-0000-000003000000}" name="CUPS" dataDxfId="21" totalsRowDxfId="6"/>
    <tableColumn id="4" xr3:uid="{00000000-0010-0000-0000-000004000000}" name="TARIFA" dataDxfId="20" totalsRowDxfId="5"/>
    <tableColumn id="5" xr3:uid="{00000000-0010-0000-0000-000005000000}" name="CONSUMO (KWH)" dataDxfId="19" totalsRowDxfId="4"/>
    <tableColumn id="9" xr3:uid="{00000000-0010-0000-0000-000009000000}" name="DIRECCIÓN DE ENVÍO DE FACTURAS"/>
    <tableColumn id="10" xr3:uid="{00000000-0010-0000-0000-00000A000000}" name="TF (€/mes)" dataDxfId="18">
      <calculatedColumnFormula>VLOOKUP(Tabla1[[#This Row],[TARIFA]],PEAJES!$A$3:$D$12,2)</calculatedColumnFormula>
    </tableColumn>
    <tableColumn id="11" xr3:uid="{00000000-0010-0000-0000-00000B000000}" name="TV (c€/kWh)" dataDxfId="17">
      <calculatedColumnFormula>VLOOKUP(Tabla1[[#This Row],[TARIFA]],PEAJES!$A$3:$D$12,3)</calculatedColumnFormula>
    </tableColumn>
    <tableColumn id="12" xr3:uid="{00000000-0010-0000-0000-00000C000000}" name="Energía (c€/kWh)" dataDxfId="16">
      <calculatedColumnFormula>VLOOKUP(Tabla1[[#This Row],[TARIFA]],PEAJES!$A$3:$D$12,4)</calculatedColumnFormula>
    </tableColumn>
    <tableColumn id="13" xr3:uid="{00000000-0010-0000-0000-00000D000000}" name="Gasto Anual (€). Sin impuestos" totalsRowFunction="sum" dataDxfId="15" totalsRowDxfId="3">
      <calculatedColumnFormula>Tabla1[[#This Row],[TF (€/mes)]]*12+(Tabla1[[#This Row],[TV (c€/kWh)]]+Tabla1[[#This Row],[Energía (c€/kWh)]])/100*Tabla1[[#This Row],[CONSUMO (KWH)]]</calculatedColumnFormula>
    </tableColumn>
    <tableColumn id="14" xr3:uid="{00000000-0010-0000-0000-00000E000000}" name="IH (€)" dataDxfId="14" totalsRowDxfId="2">
      <calculatedColumnFormula>0.00234*Tabla1[[#This Row],[CONSUMO (KWH)]]</calculatedColumnFormula>
    </tableColumn>
    <tableColumn id="15" xr3:uid="{00000000-0010-0000-0000-00000F000000}" name="IVA (€)" dataDxfId="13" totalsRowDxfId="1">
      <calculatedColumnFormula>(Tabla1[[#This Row],[Gasto Anual (€). Sin impuestos]]+Tabla1[[#This Row],[IH (€)]])*0.21</calculatedColumnFormula>
    </tableColumn>
    <tableColumn id="16" xr3:uid="{00000000-0010-0000-0000-000010000000}" name="Total (€)" totalsRowFunction="sum" dataDxfId="12" totalsRowDxfId="0">
      <calculatedColumnFormula>Tabla1[[#This Row],[Gasto Anual (€). Sin impuestos]]+Tabla1[[#This Row],[IH (€)]]+Tabla1[[#This Row],[IVA (€)]]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f.araba@parke.eus" TargetMode="External"/><Relationship Id="rId13" Type="http://schemas.openxmlformats.org/officeDocument/2006/relationships/hyperlink" Target="mailto:bicaraba@bicaraba.eus" TargetMode="External"/><Relationship Id="rId3" Type="http://schemas.openxmlformats.org/officeDocument/2006/relationships/hyperlink" Target="mailto:ef.bizkaia@parke.eus" TargetMode="External"/><Relationship Id="rId7" Type="http://schemas.openxmlformats.org/officeDocument/2006/relationships/hyperlink" Target="mailto:ef.araba@parke.eus" TargetMode="External"/><Relationship Id="rId12" Type="http://schemas.openxmlformats.org/officeDocument/2006/relationships/hyperlink" Target="mailto:ef.gipuzkoa@parke.eus" TargetMode="External"/><Relationship Id="rId2" Type="http://schemas.openxmlformats.org/officeDocument/2006/relationships/hyperlink" Target="mailto:ef.bizkaia@parke.eus" TargetMode="External"/><Relationship Id="rId1" Type="http://schemas.openxmlformats.org/officeDocument/2006/relationships/hyperlink" Target="mailto:ef.bizkaia@parke.eus" TargetMode="External"/><Relationship Id="rId6" Type="http://schemas.openxmlformats.org/officeDocument/2006/relationships/hyperlink" Target="mailto:ef.araba@parke.eus" TargetMode="External"/><Relationship Id="rId11" Type="http://schemas.openxmlformats.org/officeDocument/2006/relationships/hyperlink" Target="mailto:ef.gipuzkoa@parke.eus" TargetMode="External"/><Relationship Id="rId5" Type="http://schemas.openxmlformats.org/officeDocument/2006/relationships/hyperlink" Target="mailto:ef.araba@parke.eus" TargetMode="External"/><Relationship Id="rId15" Type="http://schemas.openxmlformats.org/officeDocument/2006/relationships/table" Target="../tables/table1.xml"/><Relationship Id="rId10" Type="http://schemas.openxmlformats.org/officeDocument/2006/relationships/hyperlink" Target="mailto:ef.gipuzkoa@parke.eus" TargetMode="External"/><Relationship Id="rId4" Type="http://schemas.openxmlformats.org/officeDocument/2006/relationships/hyperlink" Target="mailto:ef.araba@parke.eus" TargetMode="External"/><Relationship Id="rId9" Type="http://schemas.openxmlformats.org/officeDocument/2006/relationships/hyperlink" Target="mailto:ef.gipuzkoa@parke.eus" TargetMode="External"/><Relationship Id="rId1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F11" sqref="F11"/>
    </sheetView>
  </sheetViews>
  <sheetFormatPr baseColWidth="10" defaultRowHeight="15" x14ac:dyDescent="0.25"/>
  <cols>
    <col min="1" max="1" width="19.42578125" customWidth="1"/>
    <col min="2" max="2" width="13.5703125" customWidth="1"/>
    <col min="3" max="3" width="25.7109375" bestFit="1" customWidth="1"/>
    <col min="4" max="4" width="10.5703125" customWidth="1"/>
    <col min="5" max="5" width="21.5703125" customWidth="1"/>
    <col min="6" max="6" width="44.28515625" bestFit="1" customWidth="1"/>
    <col min="7" max="7" width="14.140625" bestFit="1" customWidth="1"/>
    <col min="8" max="8" width="15.5703125" bestFit="1" customWidth="1"/>
    <col min="10" max="10" width="15.5703125" bestFit="1" customWidth="1"/>
  </cols>
  <sheetData>
    <row r="1" spans="1:13" ht="47.25" x14ac:dyDescent="0.25">
      <c r="A1" s="11" t="s">
        <v>44</v>
      </c>
      <c r="B1" s="12" t="s">
        <v>45</v>
      </c>
      <c r="C1" s="13" t="s">
        <v>0</v>
      </c>
      <c r="D1" s="13" t="s">
        <v>1</v>
      </c>
      <c r="E1" s="14" t="s">
        <v>2</v>
      </c>
      <c r="F1" s="16" t="s">
        <v>43</v>
      </c>
      <c r="G1" s="16" t="s">
        <v>41</v>
      </c>
      <c r="H1" s="16" t="s">
        <v>42</v>
      </c>
      <c r="I1" s="16" t="s">
        <v>47</v>
      </c>
      <c r="J1" s="13" t="s">
        <v>48</v>
      </c>
      <c r="K1" s="13" t="s">
        <v>49</v>
      </c>
      <c r="L1" s="13" t="s">
        <v>50</v>
      </c>
      <c r="M1" s="13" t="s">
        <v>51</v>
      </c>
    </row>
    <row r="2" spans="1:13" ht="15.75" x14ac:dyDescent="0.25">
      <c r="A2" s="8" t="s">
        <v>7</v>
      </c>
      <c r="B2" s="3" t="s">
        <v>37</v>
      </c>
      <c r="C2" s="2" t="s">
        <v>3</v>
      </c>
      <c r="D2" s="4" t="s">
        <v>4</v>
      </c>
      <c r="E2" s="10">
        <v>248016</v>
      </c>
      <c r="F2" s="30" t="s">
        <v>59</v>
      </c>
      <c r="G2">
        <f>VLOOKUP(Tabla1[[#This Row],[TARIFA]],PEAJES!$A$3:$D$12,2)</f>
        <v>55.79</v>
      </c>
      <c r="H2" s="6">
        <f>VLOOKUP(Tabla1[[#This Row],[TARIFA]],PEAJES!$A$3:$D$12,3)</f>
        <v>1.2387999999999999</v>
      </c>
      <c r="I2">
        <f>VLOOKUP(Tabla1[[#This Row],[TARIFA]],PEAJES!$A$3:$D$12,4)</f>
        <v>10</v>
      </c>
      <c r="J2" s="17">
        <f>Tabla1[[#This Row],[TF (€/mes)]]*12+(Tabla1[[#This Row],[TV (c€/kWh)]]+Tabla1[[#This Row],[Energía (c€/kWh)]])/100*Tabla1[[#This Row],[CONSUMO (KWH)]]</f>
        <v>28543.502207999998</v>
      </c>
      <c r="K2" s="17">
        <f>0.00234*Tabla1[[#This Row],[CONSUMO (KWH)]]</f>
        <v>580.35744</v>
      </c>
      <c r="L2" s="17">
        <f>(Tabla1[[#This Row],[Gasto Anual (€). Sin impuestos]]+Tabla1[[#This Row],[IH (€)]])*0.21</f>
        <v>6116.0105260799992</v>
      </c>
      <c r="M2" s="17">
        <f>Tabla1[[#This Row],[Gasto Anual (€). Sin impuestos]]+Tabla1[[#This Row],[IH (€)]]+Tabla1[[#This Row],[IVA (€)]]</f>
        <v>35239.870174079995</v>
      </c>
    </row>
    <row r="3" spans="1:13" ht="15.75" x14ac:dyDescent="0.25">
      <c r="A3" s="8" t="s">
        <v>8</v>
      </c>
      <c r="B3" s="3" t="s">
        <v>37</v>
      </c>
      <c r="C3" s="2" t="s">
        <v>5</v>
      </c>
      <c r="D3" s="4" t="s">
        <v>4</v>
      </c>
      <c r="E3" s="10">
        <v>112193</v>
      </c>
      <c r="F3" s="30" t="s">
        <v>59</v>
      </c>
      <c r="G3">
        <f>VLOOKUP(Tabla1[[#This Row],[TARIFA]],PEAJES!$A$3:$D$12,2)</f>
        <v>55.79</v>
      </c>
      <c r="H3">
        <f>VLOOKUP(Tabla1[[#This Row],[TARIFA]],PEAJES!$A$3:$D$12,3)</f>
        <v>1.2387999999999999</v>
      </c>
      <c r="I3">
        <f>VLOOKUP(Tabla1[[#This Row],[TARIFA]],PEAJES!$A$3:$D$12,4)</f>
        <v>10</v>
      </c>
      <c r="J3" s="17">
        <f>Tabla1[[#This Row],[TF (€/mes)]]*12+(Tabla1[[#This Row],[TV (c€/kWh)]]+Tabla1[[#This Row],[Energía (c€/kWh)]])/100*Tabla1[[#This Row],[CONSUMO (KWH)]]</f>
        <v>13278.626883999998</v>
      </c>
      <c r="K3" s="17">
        <f>0.00234*Tabla1[[#This Row],[CONSUMO (KWH)]]</f>
        <v>262.53162000000003</v>
      </c>
      <c r="L3" s="17">
        <f>(Tabla1[[#This Row],[Gasto Anual (€). Sin impuestos]]+Tabla1[[#This Row],[IH (€)]])*0.21</f>
        <v>2843.6432858399994</v>
      </c>
      <c r="M3" s="17">
        <f>Tabla1[[#This Row],[Gasto Anual (€). Sin impuestos]]+Tabla1[[#This Row],[IH (€)]]+Tabla1[[#This Row],[IVA (€)]]</f>
        <v>16384.801789839996</v>
      </c>
    </row>
    <row r="4" spans="1:13" ht="15.75" x14ac:dyDescent="0.25">
      <c r="A4" s="8" t="s">
        <v>9</v>
      </c>
      <c r="B4" s="3" t="s">
        <v>37</v>
      </c>
      <c r="C4" s="2" t="s">
        <v>6</v>
      </c>
      <c r="D4" s="4" t="s">
        <v>31</v>
      </c>
      <c r="E4" s="10">
        <v>58275</v>
      </c>
      <c r="F4" s="30" t="s">
        <v>59</v>
      </c>
      <c r="G4">
        <f>VLOOKUP(Tabla1[[#This Row],[TARIFA]],PEAJES!$A$3:$D$12,2)</f>
        <v>18.22</v>
      </c>
      <c r="H4">
        <f>VLOOKUP(Tabla1[[#This Row],[TARIFA]],PEAJES!$A$3:$D$12,3)</f>
        <v>1.0946</v>
      </c>
      <c r="I4">
        <f>VLOOKUP(Tabla1[[#This Row],[TARIFA]],PEAJES!$A$3:$D$12,4)</f>
        <v>10</v>
      </c>
      <c r="J4" s="17">
        <f>Tabla1[[#This Row],[TF (€/mes)]]*12+(Tabla1[[#This Row],[TV (c€/kWh)]]+Tabla1[[#This Row],[Energía (c€/kWh)]])/100*Tabla1[[#This Row],[CONSUMO (KWH)]]</f>
        <v>6684.0181500000008</v>
      </c>
      <c r="K4" s="17">
        <f>0.00234*Tabla1[[#This Row],[CONSUMO (KWH)]]</f>
        <v>136.36350000000002</v>
      </c>
      <c r="L4" s="17">
        <f>(Tabla1[[#This Row],[Gasto Anual (€). Sin impuestos]]+Tabla1[[#This Row],[IH (€)]])*0.21</f>
        <v>1432.2801465000002</v>
      </c>
      <c r="M4" s="17">
        <f>Tabla1[[#This Row],[Gasto Anual (€). Sin impuestos]]+Tabla1[[#This Row],[IH (€)]]+Tabla1[[#This Row],[IVA (€)]]</f>
        <v>8252.6617965000005</v>
      </c>
    </row>
    <row r="5" spans="1:13" ht="15.75" x14ac:dyDescent="0.25">
      <c r="A5" s="8" t="s">
        <v>10</v>
      </c>
      <c r="B5" s="7" t="s">
        <v>38</v>
      </c>
      <c r="C5" s="2" t="s">
        <v>11</v>
      </c>
      <c r="D5" s="4" t="s">
        <v>12</v>
      </c>
      <c r="E5" s="10">
        <v>610527</v>
      </c>
      <c r="F5" s="30" t="s">
        <v>60</v>
      </c>
      <c r="G5">
        <f>VLOOKUP(Tabla1[[#This Row],[TARIFA]],PEAJES!$A$3:$D$12,2)</f>
        <v>115.84</v>
      </c>
      <c r="H5">
        <f>VLOOKUP(Tabla1[[#This Row],[TARIFA]],PEAJES!$A$3:$D$12,3)</f>
        <v>1.1767000000000001</v>
      </c>
      <c r="I5">
        <f>VLOOKUP(Tabla1[[#This Row],[TARIFA]],PEAJES!$A$3:$D$12,4)</f>
        <v>10</v>
      </c>
      <c r="J5" s="17">
        <f>Tabla1[[#This Row],[TF (€/mes)]]*12+(Tabla1[[#This Row],[TV (c€/kWh)]]+Tabla1[[#This Row],[Energía (c€/kWh)]])/100*Tabla1[[#This Row],[CONSUMO (KWH)]]</f>
        <v>69626.851209</v>
      </c>
      <c r="K5" s="17">
        <f>0.00234*Tabla1[[#This Row],[CONSUMO (KWH)]]</f>
        <v>1428.63318</v>
      </c>
      <c r="L5" s="17">
        <f>(Tabla1[[#This Row],[Gasto Anual (€). Sin impuestos]]+Tabla1[[#This Row],[IH (€)]])*0.21</f>
        <v>14921.651721690001</v>
      </c>
      <c r="M5" s="17">
        <f>Tabla1[[#This Row],[Gasto Anual (€). Sin impuestos]]+Tabla1[[#This Row],[IH (€)]]+Tabla1[[#This Row],[IVA (€)]]</f>
        <v>85977.13611069</v>
      </c>
    </row>
    <row r="6" spans="1:13" ht="15.75" x14ac:dyDescent="0.25">
      <c r="A6" s="8" t="s">
        <v>13</v>
      </c>
      <c r="B6" s="7" t="s">
        <v>38</v>
      </c>
      <c r="C6" s="2" t="s">
        <v>14</v>
      </c>
      <c r="D6" s="4" t="s">
        <v>4</v>
      </c>
      <c r="E6" s="10">
        <v>52570</v>
      </c>
      <c r="F6" s="30" t="s">
        <v>60</v>
      </c>
      <c r="G6">
        <f>VLOOKUP(Tabla1[[#This Row],[TARIFA]],PEAJES!$A$3:$D$12,2)</f>
        <v>55.79</v>
      </c>
      <c r="H6">
        <f>VLOOKUP(Tabla1[[#This Row],[TARIFA]],PEAJES!$A$3:$D$12,3)</f>
        <v>1.2387999999999999</v>
      </c>
      <c r="I6">
        <f>VLOOKUP(Tabla1[[#This Row],[TARIFA]],PEAJES!$A$3:$D$12,4)</f>
        <v>10</v>
      </c>
      <c r="J6" s="17">
        <f>Tabla1[[#This Row],[TF (€/mes)]]*12+(Tabla1[[#This Row],[TV (c€/kWh)]]+Tabla1[[#This Row],[Energía (c€/kWh)]])/100*Tabla1[[#This Row],[CONSUMO (KWH)]]</f>
        <v>6577.7171600000001</v>
      </c>
      <c r="K6" s="17">
        <f>0.00234*Tabla1[[#This Row],[CONSUMO (KWH)]]</f>
        <v>123.0138</v>
      </c>
      <c r="L6" s="17">
        <f>(Tabla1[[#This Row],[Gasto Anual (€). Sin impuestos]]+Tabla1[[#This Row],[IH (€)]])*0.21</f>
        <v>1407.1535016</v>
      </c>
      <c r="M6" s="17">
        <f>Tabla1[[#This Row],[Gasto Anual (€). Sin impuestos]]+Tabla1[[#This Row],[IH (€)]]+Tabla1[[#This Row],[IVA (€)]]</f>
        <v>8107.8844615999997</v>
      </c>
    </row>
    <row r="7" spans="1:13" ht="15.75" x14ac:dyDescent="0.25">
      <c r="A7" s="8" t="s">
        <v>15</v>
      </c>
      <c r="B7" s="7" t="s">
        <v>38</v>
      </c>
      <c r="C7" s="2" t="s">
        <v>16</v>
      </c>
      <c r="D7" s="4" t="s">
        <v>12</v>
      </c>
      <c r="E7" s="10">
        <v>306926</v>
      </c>
      <c r="F7" s="30" t="s">
        <v>60</v>
      </c>
      <c r="G7">
        <f>VLOOKUP(Tabla1[[#This Row],[TARIFA]],PEAJES!$A$3:$D$12,2)</f>
        <v>115.84</v>
      </c>
      <c r="H7">
        <f>VLOOKUP(Tabla1[[#This Row],[TARIFA]],PEAJES!$A$3:$D$12,3)</f>
        <v>1.1767000000000001</v>
      </c>
      <c r="I7">
        <f>VLOOKUP(Tabla1[[#This Row],[TARIFA]],PEAJES!$A$3:$D$12,4)</f>
        <v>10</v>
      </c>
      <c r="J7" s="17">
        <f>Tabla1[[#This Row],[TF (€/mes)]]*12+(Tabla1[[#This Row],[TV (c€/kWh)]]+Tabla1[[#This Row],[Energía (c€/kWh)]])/100*Tabla1[[#This Row],[CONSUMO (KWH)]]</f>
        <v>35694.278242</v>
      </c>
      <c r="K7" s="17">
        <f>0.00234*Tabla1[[#This Row],[CONSUMO (KWH)]]</f>
        <v>718.20684000000006</v>
      </c>
      <c r="L7" s="17">
        <f>(Tabla1[[#This Row],[Gasto Anual (€). Sin impuestos]]+Tabla1[[#This Row],[IH (€)]])*0.21</f>
        <v>7646.6218672199993</v>
      </c>
      <c r="M7" s="17">
        <f>Tabla1[[#This Row],[Gasto Anual (€). Sin impuestos]]+Tabla1[[#This Row],[IH (€)]]+Tabla1[[#This Row],[IVA (€)]]</f>
        <v>44059.106949219997</v>
      </c>
    </row>
    <row r="8" spans="1:13" ht="15.75" x14ac:dyDescent="0.25">
      <c r="A8" s="8" t="s">
        <v>18</v>
      </c>
      <c r="B8" s="7" t="s">
        <v>38</v>
      </c>
      <c r="C8" s="2" t="s">
        <v>17</v>
      </c>
      <c r="D8" s="4" t="s">
        <v>4</v>
      </c>
      <c r="E8" s="10">
        <v>289270</v>
      </c>
      <c r="F8" s="30" t="s">
        <v>60</v>
      </c>
      <c r="G8">
        <f>VLOOKUP(Tabla1[[#This Row],[TARIFA]],PEAJES!$A$3:$D$12,2)</f>
        <v>55.79</v>
      </c>
      <c r="H8">
        <f>VLOOKUP(Tabla1[[#This Row],[TARIFA]],PEAJES!$A$3:$D$12,3)</f>
        <v>1.2387999999999999</v>
      </c>
      <c r="I8">
        <f>VLOOKUP(Tabla1[[#This Row],[TARIFA]],PEAJES!$A$3:$D$12,4)</f>
        <v>10</v>
      </c>
      <c r="J8" s="17">
        <f>Tabla1[[#This Row],[TF (€/mes)]]*12+(Tabla1[[#This Row],[TV (c€/kWh)]]+Tabla1[[#This Row],[Energía (c€/kWh)]])/100*Tabla1[[#This Row],[CONSUMO (KWH)]]</f>
        <v>33179.956760000001</v>
      </c>
      <c r="K8" s="17">
        <f>0.00234*Tabla1[[#This Row],[CONSUMO (KWH)]]</f>
        <v>676.89179999999999</v>
      </c>
      <c r="L8" s="17">
        <f>(Tabla1[[#This Row],[Gasto Anual (€). Sin impuestos]]+Tabla1[[#This Row],[IH (€)]])*0.21</f>
        <v>7109.9381975999995</v>
      </c>
      <c r="M8" s="17">
        <f>Tabla1[[#This Row],[Gasto Anual (€). Sin impuestos]]+Tabla1[[#This Row],[IH (€)]]+Tabla1[[#This Row],[IVA (€)]]</f>
        <v>40966.786757599999</v>
      </c>
    </row>
    <row r="9" spans="1:13" ht="15.75" x14ac:dyDescent="0.25">
      <c r="A9" s="8" t="s">
        <v>19</v>
      </c>
      <c r="B9" s="7" t="s">
        <v>38</v>
      </c>
      <c r="C9" s="2" t="s">
        <v>20</v>
      </c>
      <c r="D9" s="4" t="s">
        <v>12</v>
      </c>
      <c r="E9" s="10">
        <v>407557</v>
      </c>
      <c r="F9" s="30" t="s">
        <v>60</v>
      </c>
      <c r="G9">
        <f>VLOOKUP(Tabla1[[#This Row],[TARIFA]],PEAJES!$A$3:$D$12,2)</f>
        <v>115.84</v>
      </c>
      <c r="H9">
        <f>VLOOKUP(Tabla1[[#This Row],[TARIFA]],PEAJES!$A$3:$D$12,3)</f>
        <v>1.1767000000000001</v>
      </c>
      <c r="I9">
        <f>VLOOKUP(Tabla1[[#This Row],[TARIFA]],PEAJES!$A$3:$D$12,4)</f>
        <v>10</v>
      </c>
      <c r="J9" s="17">
        <f>Tabla1[[#This Row],[TF (€/mes)]]*12+(Tabla1[[#This Row],[TV (c€/kWh)]]+Tabla1[[#This Row],[Energía (c€/kWh)]])/100*Tabla1[[#This Row],[CONSUMO (KWH)]]</f>
        <v>46941.503219000006</v>
      </c>
      <c r="K9" s="17">
        <f>0.00234*Tabla1[[#This Row],[CONSUMO (KWH)]]</f>
        <v>953.68338000000006</v>
      </c>
      <c r="L9" s="17">
        <f>(Tabla1[[#This Row],[Gasto Anual (€). Sin impuestos]]+Tabla1[[#This Row],[IH (€)]])*0.21</f>
        <v>10057.989185790002</v>
      </c>
      <c r="M9" s="17">
        <f>Tabla1[[#This Row],[Gasto Anual (€). Sin impuestos]]+Tabla1[[#This Row],[IH (€)]]+Tabla1[[#This Row],[IVA (€)]]</f>
        <v>57953.175784790008</v>
      </c>
    </row>
    <row r="10" spans="1:13" ht="15.75" x14ac:dyDescent="0.25">
      <c r="A10" s="25" t="s">
        <v>57</v>
      </c>
      <c r="B10" s="26" t="s">
        <v>38</v>
      </c>
      <c r="C10" s="27" t="s">
        <v>58</v>
      </c>
      <c r="D10" s="28" t="s">
        <v>4</v>
      </c>
      <c r="E10" s="29">
        <v>171911</v>
      </c>
      <c r="F10" s="30" t="s">
        <v>62</v>
      </c>
      <c r="G10">
        <f>VLOOKUP(Tabla1[[#This Row],[TARIFA]],PEAJES!$A$3:$D$12,2)</f>
        <v>55.79</v>
      </c>
      <c r="H10">
        <f>VLOOKUP(Tabla1[[#This Row],[TARIFA]],PEAJES!$A$3:$D$12,3)</f>
        <v>1.2387999999999999</v>
      </c>
      <c r="I10">
        <f>VLOOKUP(Tabla1[[#This Row],[TARIFA]],PEAJES!$A$3:$D$12,4)</f>
        <v>10</v>
      </c>
      <c r="J10" s="17">
        <f>Tabla1[[#This Row],[TF (€/mes)]]*12+(Tabla1[[#This Row],[TV (c€/kWh)]]+Tabla1[[#This Row],[Energía (c€/kWh)]])/100*Tabla1[[#This Row],[CONSUMO (KWH)]]</f>
        <v>19990.213467999998</v>
      </c>
      <c r="K10" s="17">
        <f>0.00234*Tabla1[[#This Row],[CONSUMO (KWH)]]</f>
        <v>402.27174000000002</v>
      </c>
      <c r="L10" s="17">
        <f>(Tabla1[[#This Row],[Gasto Anual (€). Sin impuestos]]+Tabla1[[#This Row],[IH (€)]])*0.21</f>
        <v>4282.4218936799998</v>
      </c>
      <c r="M10" s="17">
        <f>Tabla1[[#This Row],[Gasto Anual (€). Sin impuestos]]+Tabla1[[#This Row],[IH (€)]]+Tabla1[[#This Row],[IVA (€)]]</f>
        <v>24674.907101679997</v>
      </c>
    </row>
    <row r="11" spans="1:13" ht="15.75" x14ac:dyDescent="0.25">
      <c r="A11" s="9" t="s">
        <v>25</v>
      </c>
      <c r="B11" s="7" t="s">
        <v>39</v>
      </c>
      <c r="C11" s="5" t="s">
        <v>21</v>
      </c>
      <c r="D11" s="4" t="s">
        <v>12</v>
      </c>
      <c r="E11" s="10">
        <v>357533</v>
      </c>
      <c r="F11" s="30" t="s">
        <v>61</v>
      </c>
      <c r="G11">
        <f>VLOOKUP(Tabla1[[#This Row],[TARIFA]],PEAJES!$A$3:$D$12,2)</f>
        <v>115.84</v>
      </c>
      <c r="H11">
        <f>VLOOKUP(Tabla1[[#This Row],[TARIFA]],PEAJES!$A$3:$D$12,3)</f>
        <v>1.1767000000000001</v>
      </c>
      <c r="I11">
        <f>VLOOKUP(Tabla1[[#This Row],[TARIFA]],PEAJES!$A$3:$D$12,4)</f>
        <v>10</v>
      </c>
      <c r="J11" s="17">
        <f>Tabla1[[#This Row],[TF (€/mes)]]*12+(Tabla1[[#This Row],[TV (c€/kWh)]]+Tabla1[[#This Row],[Energía (c€/kWh)]])/100*Tabla1[[#This Row],[CONSUMO (KWH)]]</f>
        <v>41350.470811000007</v>
      </c>
      <c r="K11" s="17">
        <f>0.00234*Tabla1[[#This Row],[CONSUMO (KWH)]]</f>
        <v>836.62722000000008</v>
      </c>
      <c r="L11" s="17">
        <f>(Tabla1[[#This Row],[Gasto Anual (€). Sin impuestos]]+Tabla1[[#This Row],[IH (€)]])*0.21</f>
        <v>8859.290586510002</v>
      </c>
      <c r="M11" s="17">
        <f>Tabla1[[#This Row],[Gasto Anual (€). Sin impuestos]]+Tabla1[[#This Row],[IH (€)]]+Tabla1[[#This Row],[IVA (€)]]</f>
        <v>51046.388617510012</v>
      </c>
    </row>
    <row r="12" spans="1:13" ht="15.75" x14ac:dyDescent="0.25">
      <c r="A12" s="9" t="s">
        <v>26</v>
      </c>
      <c r="B12" s="7" t="s">
        <v>39</v>
      </c>
      <c r="C12" s="5" t="s">
        <v>22</v>
      </c>
      <c r="D12" s="4" t="s">
        <v>12</v>
      </c>
      <c r="E12" s="10">
        <v>527083</v>
      </c>
      <c r="F12" s="30" t="s">
        <v>61</v>
      </c>
      <c r="G12">
        <f>VLOOKUP(Tabla1[[#This Row],[TARIFA]],PEAJES!$A$3:$D$12,2)</f>
        <v>115.84</v>
      </c>
      <c r="H12">
        <f>VLOOKUP(Tabla1[[#This Row],[TARIFA]],PEAJES!$A$3:$D$12,3)</f>
        <v>1.1767000000000001</v>
      </c>
      <c r="I12">
        <f>VLOOKUP(Tabla1[[#This Row],[TARIFA]],PEAJES!$A$3:$D$12,4)</f>
        <v>10</v>
      </c>
      <c r="J12" s="17">
        <f>Tabla1[[#This Row],[TF (€/mes)]]*12+(Tabla1[[#This Row],[TV (c€/kWh)]]+Tabla1[[#This Row],[Energía (c€/kWh)]])/100*Tabla1[[#This Row],[CONSUMO (KWH)]]</f>
        <v>60300.565661000008</v>
      </c>
      <c r="K12" s="17">
        <f>0.00234*Tabla1[[#This Row],[CONSUMO (KWH)]]</f>
        <v>1233.3742199999999</v>
      </c>
      <c r="L12" s="17">
        <f>(Tabla1[[#This Row],[Gasto Anual (€). Sin impuestos]]+Tabla1[[#This Row],[IH (€)]])*0.21</f>
        <v>12922.127375010001</v>
      </c>
      <c r="M12" s="17">
        <f>Tabla1[[#This Row],[Gasto Anual (€). Sin impuestos]]+Tabla1[[#This Row],[IH (€)]]+Tabla1[[#This Row],[IVA (€)]]</f>
        <v>74456.067256010007</v>
      </c>
    </row>
    <row r="13" spans="1:13" ht="15.75" x14ac:dyDescent="0.25">
      <c r="A13" s="9" t="s">
        <v>27</v>
      </c>
      <c r="B13" s="7" t="s">
        <v>39</v>
      </c>
      <c r="C13" s="5" t="s">
        <v>23</v>
      </c>
      <c r="D13" s="4" t="s">
        <v>4</v>
      </c>
      <c r="E13" s="10">
        <v>213961</v>
      </c>
      <c r="F13" s="30" t="s">
        <v>61</v>
      </c>
      <c r="G13">
        <f>VLOOKUP(Tabla1[[#This Row],[TARIFA]],PEAJES!$A$3:$D$12,2)</f>
        <v>55.79</v>
      </c>
      <c r="H13">
        <f>VLOOKUP(Tabla1[[#This Row],[TARIFA]],PEAJES!$A$3:$D$12,3)</f>
        <v>1.2387999999999999</v>
      </c>
      <c r="I13">
        <f>VLOOKUP(Tabla1[[#This Row],[TARIFA]],PEAJES!$A$3:$D$12,4)</f>
        <v>10</v>
      </c>
      <c r="J13" s="17">
        <f>Tabla1[[#This Row],[TF (€/mes)]]*12+(Tabla1[[#This Row],[TV (c€/kWh)]]+Tabla1[[#This Row],[Energía (c€/kWh)]])/100*Tabla1[[#This Row],[CONSUMO (KWH)]]</f>
        <v>24716.128867999996</v>
      </c>
      <c r="K13" s="17">
        <f>0.00234*Tabla1[[#This Row],[CONSUMO (KWH)]]</f>
        <v>500.66874000000001</v>
      </c>
      <c r="L13" s="17">
        <f>(Tabla1[[#This Row],[Gasto Anual (€). Sin impuestos]]+Tabla1[[#This Row],[IH (€)]])*0.21</f>
        <v>5295.5274976799992</v>
      </c>
      <c r="M13" s="17">
        <f>Tabla1[[#This Row],[Gasto Anual (€). Sin impuestos]]+Tabla1[[#This Row],[IH (€)]]+Tabla1[[#This Row],[IVA (€)]]</f>
        <v>30512.325105679996</v>
      </c>
    </row>
    <row r="14" spans="1:13" ht="15.75" x14ac:dyDescent="0.25">
      <c r="A14" s="9" t="s">
        <v>28</v>
      </c>
      <c r="B14" s="7" t="s">
        <v>39</v>
      </c>
      <c r="C14" s="5" t="s">
        <v>24</v>
      </c>
      <c r="D14" s="4" t="s">
        <v>4</v>
      </c>
      <c r="E14" s="10">
        <v>166391</v>
      </c>
      <c r="F14" s="30" t="s">
        <v>61</v>
      </c>
      <c r="G14">
        <f>VLOOKUP(Tabla1[[#This Row],[TARIFA]],PEAJES!$A$3:$D$12,2)</f>
        <v>55.79</v>
      </c>
      <c r="H14">
        <f>VLOOKUP(Tabla1[[#This Row],[TARIFA]],PEAJES!$A$3:$D$12,3)</f>
        <v>1.2387999999999999</v>
      </c>
      <c r="I14">
        <f>VLOOKUP(Tabla1[[#This Row],[TARIFA]],PEAJES!$A$3:$D$12,4)</f>
        <v>10</v>
      </c>
      <c r="J14" s="17">
        <f>Tabla1[[#This Row],[TF (€/mes)]]*12+(Tabla1[[#This Row],[TV (c€/kWh)]]+Tabla1[[#This Row],[Energía (c€/kWh)]])/100*Tabla1[[#This Row],[CONSUMO (KWH)]]</f>
        <v>19369.831707999998</v>
      </c>
      <c r="K14" s="17">
        <f>0.00234*Tabla1[[#This Row],[CONSUMO (KWH)]]</f>
        <v>389.35494</v>
      </c>
      <c r="L14" s="17">
        <f>(Tabla1[[#This Row],[Gasto Anual (€). Sin impuestos]]+Tabla1[[#This Row],[IH (€)]])*0.21</f>
        <v>4149.4291960799992</v>
      </c>
      <c r="M14" s="17">
        <f>Tabla1[[#This Row],[Gasto Anual (€). Sin impuestos]]+Tabla1[[#This Row],[IH (€)]]+Tabla1[[#This Row],[IVA (€)]]</f>
        <v>23908.615844079999</v>
      </c>
    </row>
    <row r="15" spans="1:13" ht="15.75" x14ac:dyDescent="0.25">
      <c r="A15" s="18"/>
      <c r="B15" s="7"/>
      <c r="C15" s="19"/>
      <c r="D15" s="20"/>
      <c r="E15" s="21"/>
      <c r="J15" s="17">
        <f>SUBTOTAL(109,Tabla1[Gasto Anual (€). Sin impuestos])</f>
        <v>406253.66434800002</v>
      </c>
      <c r="K15" s="17"/>
      <c r="L15" s="17"/>
      <c r="M15" s="17">
        <f>SUBTOTAL(109,Tabla1[Total (€)])</f>
        <v>501539.72774928005</v>
      </c>
    </row>
  </sheetData>
  <hyperlinks>
    <hyperlink ref="F2" r:id="rId1" xr:uid="{140F36AE-160C-41B8-A24D-B7B3689406E7}"/>
    <hyperlink ref="F3" r:id="rId2" xr:uid="{656745E2-25A7-4927-AE89-CD1AFFA8D820}"/>
    <hyperlink ref="F4" r:id="rId3" xr:uid="{489DCD99-0BFA-4FF5-82F2-1C41F41FE2E7}"/>
    <hyperlink ref="F5" r:id="rId4" xr:uid="{6DFD6192-644E-4D60-964A-FEC5EBD4274D}"/>
    <hyperlink ref="F6" r:id="rId5" xr:uid="{81EF2E10-1B39-4DCE-84D3-F01F98021C83}"/>
    <hyperlink ref="F7" r:id="rId6" xr:uid="{7E724C26-3012-49C6-953A-7C7271054933}"/>
    <hyperlink ref="F8" r:id="rId7" xr:uid="{FB1DECCA-4CC0-4443-B3AE-AB5A7B75E888}"/>
    <hyperlink ref="F9" r:id="rId8" xr:uid="{AD2877E9-F22D-4919-99B4-F658BDD4A16E}"/>
    <hyperlink ref="F11" r:id="rId9" xr:uid="{31FE1B7E-0637-4286-8B2F-FBB9B4126E57}"/>
    <hyperlink ref="F12" r:id="rId10" xr:uid="{48256671-232F-4B63-9A6E-EC15F094F61C}"/>
    <hyperlink ref="F13" r:id="rId11" xr:uid="{A0636FC5-22FC-4938-8872-2357BAB1ED3A}"/>
    <hyperlink ref="F14" r:id="rId12" xr:uid="{DB9A3FA0-A226-40D0-9BDF-29D2556140C9}"/>
    <hyperlink ref="F10" r:id="rId13" xr:uid="{D452BF2B-9EDC-4622-B85A-D54E20C15A62}"/>
  </hyperlinks>
  <pageMargins left="0.7" right="0.7" top="0.75" bottom="0.75" header="0.3" footer="0.3"/>
  <pageSetup paperSize="9" orientation="portrait" r:id="rId14"/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workbookViewId="0">
      <selection activeCell="D3" sqref="D3"/>
    </sheetView>
  </sheetViews>
  <sheetFormatPr baseColWidth="10" defaultRowHeight="15" x14ac:dyDescent="0.25"/>
  <cols>
    <col min="3" max="3" width="9.7109375" bestFit="1" customWidth="1"/>
    <col min="4" max="4" width="18.5703125" bestFit="1" customWidth="1"/>
  </cols>
  <sheetData>
    <row r="1" spans="1:4" x14ac:dyDescent="0.25">
      <c r="A1" s="6"/>
      <c r="B1" s="31" t="s">
        <v>40</v>
      </c>
      <c r="C1" s="31"/>
    </row>
    <row r="2" spans="1:4" x14ac:dyDescent="0.25">
      <c r="A2" s="6"/>
      <c r="B2" s="6" t="s">
        <v>41</v>
      </c>
      <c r="C2" s="6" t="s">
        <v>42</v>
      </c>
      <c r="D2" s="6" t="s">
        <v>46</v>
      </c>
    </row>
    <row r="3" spans="1:4" x14ac:dyDescent="0.25">
      <c r="A3" s="6" t="s">
        <v>29</v>
      </c>
      <c r="B3" s="6">
        <v>3.72</v>
      </c>
      <c r="C3" s="6">
        <v>1.6912</v>
      </c>
      <c r="D3" s="15">
        <v>10</v>
      </c>
    </row>
    <row r="4" spans="1:4" x14ac:dyDescent="0.25">
      <c r="A4" s="6" t="s">
        <v>30</v>
      </c>
      <c r="B4" s="6">
        <v>7.87</v>
      </c>
      <c r="C4" s="6">
        <v>1.3495999999999999</v>
      </c>
      <c r="D4" s="15">
        <v>10</v>
      </c>
    </row>
    <row r="5" spans="1:4" x14ac:dyDescent="0.25">
      <c r="A5" s="6" t="s">
        <v>31</v>
      </c>
      <c r="B5" s="6">
        <v>18.22</v>
      </c>
      <c r="C5" s="6">
        <v>1.0946</v>
      </c>
      <c r="D5" s="15">
        <v>10</v>
      </c>
    </row>
    <row r="6" spans="1:4" x14ac:dyDescent="0.25">
      <c r="A6" s="6" t="s">
        <v>4</v>
      </c>
      <c r="B6" s="6">
        <v>55.79</v>
      </c>
      <c r="C6" s="6">
        <v>1.2387999999999999</v>
      </c>
      <c r="D6" s="15">
        <v>10</v>
      </c>
    </row>
    <row r="7" spans="1:4" x14ac:dyDescent="0.25">
      <c r="A7" s="6" t="s">
        <v>12</v>
      </c>
      <c r="B7" s="6">
        <v>115.84</v>
      </c>
      <c r="C7" s="6">
        <v>1.1767000000000001</v>
      </c>
      <c r="D7" s="15">
        <v>10</v>
      </c>
    </row>
    <row r="8" spans="1:4" x14ac:dyDescent="0.25">
      <c r="A8" s="6" t="s">
        <v>32</v>
      </c>
      <c r="B8" s="6">
        <v>304.77999999999997</v>
      </c>
      <c r="C8" s="6">
        <v>0.30859999999999999</v>
      </c>
      <c r="D8" s="15">
        <v>10</v>
      </c>
    </row>
    <row r="9" spans="1:4" x14ac:dyDescent="0.25">
      <c r="A9" s="6" t="s">
        <v>33</v>
      </c>
      <c r="B9" s="6">
        <v>1187.04</v>
      </c>
      <c r="C9" s="6">
        <v>0.51100000000000001</v>
      </c>
      <c r="D9" s="15">
        <v>10</v>
      </c>
    </row>
    <row r="10" spans="1:4" x14ac:dyDescent="0.25">
      <c r="A10" s="6" t="s">
        <v>34</v>
      </c>
      <c r="B10" s="6">
        <v>897.58</v>
      </c>
      <c r="C10" s="6">
        <v>0.1996</v>
      </c>
      <c r="D10" s="15">
        <v>10</v>
      </c>
    </row>
    <row r="11" spans="1:4" x14ac:dyDescent="0.25">
      <c r="A11" s="6" t="s">
        <v>35</v>
      </c>
      <c r="B11" s="6">
        <v>0</v>
      </c>
      <c r="C11" s="6">
        <f>((B20/365+C20+D20/365+E20/365+F20/365)*1.0014*1.00966)*100</f>
        <v>0</v>
      </c>
      <c r="D11" s="15">
        <v>10</v>
      </c>
    </row>
    <row r="12" spans="1:4" x14ac:dyDescent="0.25">
      <c r="A12" s="6" t="s">
        <v>36</v>
      </c>
      <c r="B12" s="6">
        <v>0</v>
      </c>
      <c r="C12" s="6">
        <f>((B21/365+C21+D21/365+E21/365+F21/365)*1.0014*1.00966)*100</f>
        <v>0</v>
      </c>
      <c r="D12" s="15">
        <v>10</v>
      </c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5"/>
  <sheetViews>
    <sheetView workbookViewId="0">
      <selection activeCell="A14" sqref="A14:B18"/>
    </sheetView>
  </sheetViews>
  <sheetFormatPr baseColWidth="10" defaultRowHeight="15" x14ac:dyDescent="0.25"/>
  <cols>
    <col min="1" max="1" width="18.7109375" bestFit="1" customWidth="1"/>
    <col min="2" max="2" width="25.28515625" bestFit="1" customWidth="1"/>
    <col min="3" max="3" width="16.42578125" bestFit="1" customWidth="1"/>
  </cols>
  <sheetData>
    <row r="1" spans="1:3" x14ac:dyDescent="0.25">
      <c r="A1" s="22" t="s">
        <v>55</v>
      </c>
      <c r="B1" t="s">
        <v>53</v>
      </c>
      <c r="C1" t="s">
        <v>54</v>
      </c>
    </row>
    <row r="2" spans="1:3" x14ac:dyDescent="0.25">
      <c r="A2" s="23" t="s">
        <v>38</v>
      </c>
      <c r="B2" s="1">
        <v>1838761</v>
      </c>
      <c r="C2" s="17">
        <v>261738.99716557999</v>
      </c>
    </row>
    <row r="3" spans="1:3" x14ac:dyDescent="0.25">
      <c r="A3" s="24" t="s">
        <v>4</v>
      </c>
      <c r="B3" s="1">
        <v>513751</v>
      </c>
      <c r="C3" s="17">
        <v>73749.578320879999</v>
      </c>
    </row>
    <row r="4" spans="1:3" x14ac:dyDescent="0.25">
      <c r="A4" s="24" t="s">
        <v>12</v>
      </c>
      <c r="B4" s="1">
        <v>1325010</v>
      </c>
      <c r="C4" s="17">
        <v>187989.41884470001</v>
      </c>
    </row>
    <row r="5" spans="1:3" x14ac:dyDescent="0.25">
      <c r="A5" s="23" t="s">
        <v>37</v>
      </c>
      <c r="B5" s="1">
        <v>418484</v>
      </c>
      <c r="C5" s="17">
        <v>59877.333760419991</v>
      </c>
    </row>
    <row r="6" spans="1:3" x14ac:dyDescent="0.25">
      <c r="A6" s="24" t="s">
        <v>31</v>
      </c>
      <c r="B6" s="1">
        <v>58275</v>
      </c>
      <c r="C6" s="17">
        <v>8252.6617965000005</v>
      </c>
    </row>
    <row r="7" spans="1:3" x14ac:dyDescent="0.25">
      <c r="A7" s="24" t="s">
        <v>4</v>
      </c>
      <c r="B7" s="1">
        <v>360209</v>
      </c>
      <c r="C7" s="17">
        <v>51624.671963919987</v>
      </c>
    </row>
    <row r="8" spans="1:3" x14ac:dyDescent="0.25">
      <c r="A8" s="23" t="s">
        <v>39</v>
      </c>
      <c r="B8" s="1">
        <v>1264968</v>
      </c>
      <c r="C8" s="17">
        <v>179923.39682328003</v>
      </c>
    </row>
    <row r="9" spans="1:3" x14ac:dyDescent="0.25">
      <c r="A9" s="24" t="s">
        <v>4</v>
      </c>
      <c r="B9" s="1">
        <v>380352</v>
      </c>
      <c r="C9" s="17">
        <v>54420.940949759999</v>
      </c>
    </row>
    <row r="10" spans="1:3" x14ac:dyDescent="0.25">
      <c r="A10" s="24" t="s">
        <v>12</v>
      </c>
      <c r="B10" s="1">
        <v>884616</v>
      </c>
      <c r="C10" s="17">
        <v>125502.45587352003</v>
      </c>
    </row>
    <row r="11" spans="1:3" x14ac:dyDescent="0.25">
      <c r="A11" s="23" t="s">
        <v>52</v>
      </c>
      <c r="B11" s="1">
        <v>3522213</v>
      </c>
      <c r="C11" s="17">
        <v>501539.72774927993</v>
      </c>
    </row>
    <row r="14" spans="1:3" x14ac:dyDescent="0.25">
      <c r="A14" s="22" t="s">
        <v>1</v>
      </c>
      <c r="B14" t="s">
        <v>53</v>
      </c>
    </row>
    <row r="15" spans="1:3" x14ac:dyDescent="0.25">
      <c r="A15" s="23" t="s">
        <v>31</v>
      </c>
      <c r="B15" s="1">
        <v>58275</v>
      </c>
    </row>
    <row r="16" spans="1:3" x14ac:dyDescent="0.25">
      <c r="A16" s="23" t="s">
        <v>4</v>
      </c>
      <c r="B16" s="1">
        <v>1254312</v>
      </c>
    </row>
    <row r="17" spans="1:2" x14ac:dyDescent="0.25">
      <c r="A17" s="23" t="s">
        <v>12</v>
      </c>
      <c r="B17" s="1">
        <v>2209626</v>
      </c>
    </row>
    <row r="18" spans="1:2" x14ac:dyDescent="0.25">
      <c r="A18" s="23" t="s">
        <v>52</v>
      </c>
      <c r="B18" s="1">
        <v>3522213</v>
      </c>
    </row>
    <row r="21" spans="1:2" x14ac:dyDescent="0.25">
      <c r="A21" s="22" t="s">
        <v>1</v>
      </c>
      <c r="B21" t="s">
        <v>56</v>
      </c>
    </row>
    <row r="22" spans="1:2" x14ac:dyDescent="0.25">
      <c r="A22" s="23" t="s">
        <v>31</v>
      </c>
      <c r="B22">
        <v>1</v>
      </c>
    </row>
    <row r="23" spans="1:2" x14ac:dyDescent="0.25">
      <c r="A23" s="23" t="s">
        <v>4</v>
      </c>
      <c r="B23">
        <v>7</v>
      </c>
    </row>
    <row r="24" spans="1:2" x14ac:dyDescent="0.25">
      <c r="A24" s="23" t="s">
        <v>12</v>
      </c>
      <c r="B24">
        <v>5</v>
      </c>
    </row>
    <row r="25" spans="1:2" x14ac:dyDescent="0.25">
      <c r="A25" s="23" t="s">
        <v>52</v>
      </c>
      <c r="B25">
        <v>13</v>
      </c>
    </row>
  </sheetData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</vt:lpstr>
      <vt:lpstr>PEAJES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Arrate Elorriaga</dc:creator>
  <cp:lastModifiedBy>Jon Arrate Elorriaga</cp:lastModifiedBy>
  <dcterms:created xsi:type="dcterms:W3CDTF">2022-10-07T10:27:09Z</dcterms:created>
  <dcterms:modified xsi:type="dcterms:W3CDTF">2022-12-01T10:18:30Z</dcterms:modified>
</cp:coreProperties>
</file>